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Y:\Оценочный доклад\Базы данных по прогнозам\Для сайта\"/>
    </mc:Choice>
  </mc:AlternateContent>
  <xr:revisionPtr revIDLastSave="0" documentId="13_ncr:1_{56951090-FD18-4A19-ADED-478D2BB49D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Оглавление" sheetId="5" r:id="rId1"/>
    <sheet name="Источники_Промышленность" sheetId="2" r:id="rId2"/>
    <sheet name="Прогнозы_Промышленность" sheetId="1" r:id="rId3"/>
    <sheet name="Прогнозы_Промышленность_2" sheetId="4" r:id="rId4"/>
  </sheets>
  <externalReferences>
    <externalReference r:id="rId5"/>
  </externalReferences>
  <definedNames>
    <definedName name="_xlnm._FilterDatabase" localSheetId="2" hidden="1">Прогнозы_Промышленность!$A$4:$AZ$468</definedName>
    <definedName name="_xlnm._FilterDatabase" localSheetId="3" hidden="1">Прогнозы_Промышленность_2!$A$4:$S$529</definedName>
    <definedName name="GWPCH4">'[1]факторы ПГ'!$U$2</definedName>
    <definedName name="GWPN2O">'[1]факторы ПГ'!$V$2</definedName>
    <definedName name="Источники_Промышленность">Оглавление!$B$15</definedName>
  </definedNames>
  <calcPr calcId="191029"/>
</workbook>
</file>

<file path=xl/calcChain.xml><?xml version="1.0" encoding="utf-8"?>
<calcChain xmlns="http://schemas.openxmlformats.org/spreadsheetml/2006/main">
  <c r="Q529" i="4" l="1"/>
  <c r="N529" i="4"/>
  <c r="L529" i="4"/>
  <c r="Q528" i="4"/>
  <c r="N528" i="4"/>
  <c r="L528" i="4"/>
  <c r="O527" i="4"/>
  <c r="N527" i="4"/>
  <c r="M527" i="4"/>
  <c r="L527" i="4"/>
  <c r="O526" i="4"/>
  <c r="N526" i="4"/>
  <c r="M526" i="4"/>
  <c r="L526" i="4"/>
  <c r="O525" i="4"/>
  <c r="N525" i="4"/>
  <c r="M525" i="4"/>
  <c r="L525" i="4"/>
  <c r="O524" i="4"/>
  <c r="N524" i="4"/>
  <c r="M524" i="4"/>
  <c r="L524" i="4"/>
  <c r="O523" i="4"/>
  <c r="N523" i="4"/>
  <c r="M523" i="4"/>
  <c r="L523" i="4"/>
  <c r="O522" i="4"/>
  <c r="N522" i="4"/>
  <c r="M522" i="4"/>
  <c r="L522" i="4"/>
  <c r="O521" i="4"/>
  <c r="N521" i="4"/>
  <c r="M521" i="4"/>
  <c r="L521" i="4"/>
  <c r="O520" i="4"/>
  <c r="N520" i="4"/>
  <c r="M520" i="4"/>
  <c r="L520" i="4"/>
  <c r="O519" i="4"/>
  <c r="N519" i="4"/>
  <c r="M519" i="4"/>
  <c r="L519" i="4"/>
  <c r="O518" i="4"/>
  <c r="N518" i="4"/>
  <c r="M518" i="4"/>
  <c r="L518" i="4"/>
  <c r="O517" i="4"/>
  <c r="N517" i="4"/>
  <c r="M517" i="4"/>
  <c r="L517" i="4"/>
  <c r="O516" i="4"/>
  <c r="N516" i="4"/>
  <c r="M516" i="4"/>
  <c r="L516" i="4"/>
  <c r="O515" i="4"/>
  <c r="N515" i="4"/>
  <c r="M515" i="4"/>
  <c r="L515" i="4"/>
  <c r="O514" i="4"/>
  <c r="N514" i="4"/>
  <c r="M514" i="4"/>
  <c r="L514" i="4"/>
  <c r="O513" i="4"/>
  <c r="N513" i="4"/>
  <c r="M513" i="4"/>
  <c r="L513" i="4"/>
  <c r="O512" i="4"/>
  <c r="N512" i="4"/>
  <c r="M512" i="4"/>
  <c r="L512" i="4"/>
  <c r="O511" i="4"/>
  <c r="N511" i="4"/>
  <c r="M511" i="4"/>
  <c r="L511" i="4"/>
  <c r="O510" i="4"/>
  <c r="N510" i="4"/>
  <c r="M510" i="4"/>
  <c r="L510" i="4"/>
  <c r="O509" i="4"/>
  <c r="N509" i="4"/>
  <c r="M509" i="4"/>
  <c r="L509" i="4"/>
  <c r="O508" i="4"/>
  <c r="N508" i="4"/>
  <c r="M508" i="4"/>
  <c r="L508" i="4"/>
  <c r="O507" i="4"/>
  <c r="N507" i="4"/>
  <c r="M507" i="4"/>
  <c r="L507" i="4"/>
  <c r="O506" i="4"/>
  <c r="N506" i="4"/>
  <c r="M506" i="4"/>
  <c r="L506" i="4"/>
  <c r="O505" i="4"/>
  <c r="N505" i="4"/>
  <c r="M505" i="4"/>
  <c r="L505" i="4"/>
  <c r="O504" i="4"/>
  <c r="N504" i="4"/>
  <c r="M504" i="4"/>
  <c r="L504" i="4"/>
  <c r="O503" i="4"/>
  <c r="N503" i="4"/>
  <c r="M503" i="4"/>
  <c r="L503" i="4"/>
  <c r="O502" i="4"/>
  <c r="N502" i="4"/>
  <c r="M502" i="4"/>
  <c r="L502" i="4"/>
  <c r="O501" i="4"/>
  <c r="N501" i="4"/>
  <c r="M501" i="4"/>
  <c r="L501" i="4"/>
  <c r="O500" i="4"/>
  <c r="N500" i="4"/>
  <c r="M500" i="4"/>
  <c r="L500" i="4"/>
  <c r="O499" i="4"/>
  <c r="N499" i="4"/>
  <c r="M499" i="4"/>
  <c r="L499" i="4"/>
  <c r="N498" i="4"/>
  <c r="M498" i="4"/>
  <c r="L498" i="4"/>
  <c r="S467" i="4"/>
  <c r="Q467" i="4"/>
  <c r="O467" i="4"/>
  <c r="M467" i="4"/>
  <c r="S466" i="4"/>
  <c r="Q466" i="4"/>
  <c r="O466" i="4"/>
  <c r="M466" i="4"/>
  <c r="S465" i="4"/>
  <c r="Q465" i="4"/>
  <c r="O465" i="4"/>
  <c r="M465" i="4"/>
  <c r="S464" i="4"/>
  <c r="Q464" i="4"/>
  <c r="O464" i="4"/>
  <c r="M464" i="4"/>
  <c r="S463" i="4"/>
  <c r="Q463" i="4"/>
  <c r="O463" i="4"/>
  <c r="M463" i="4"/>
  <c r="S462" i="4"/>
  <c r="Q462" i="4"/>
  <c r="O462" i="4"/>
  <c r="M462" i="4"/>
  <c r="S461" i="4"/>
  <c r="Q461" i="4"/>
  <c r="O461" i="4"/>
  <c r="S460" i="4"/>
  <c r="Q460" i="4"/>
  <c r="O460" i="4"/>
  <c r="M460" i="4"/>
  <c r="K460" i="4"/>
  <c r="S459" i="4"/>
  <c r="Q459" i="4"/>
  <c r="O459" i="4"/>
  <c r="M459" i="4"/>
  <c r="S458" i="4"/>
  <c r="Q458" i="4"/>
  <c r="O458" i="4"/>
  <c r="M458" i="4"/>
  <c r="S457" i="4"/>
  <c r="Q457" i="4"/>
  <c r="O457" i="4"/>
  <c r="M457" i="4"/>
  <c r="K457" i="4"/>
  <c r="S456" i="4"/>
  <c r="Q456" i="4"/>
  <c r="O456" i="4"/>
  <c r="M456" i="4"/>
  <c r="S455" i="4"/>
  <c r="Q455" i="4"/>
  <c r="O455" i="4"/>
  <c r="M455" i="4"/>
  <c r="K455" i="4"/>
  <c r="S454" i="4"/>
  <c r="Q454" i="4"/>
  <c r="O454" i="4"/>
  <c r="M454" i="4"/>
  <c r="K454" i="4"/>
  <c r="S453" i="4"/>
  <c r="Q453" i="4"/>
  <c r="O453" i="4"/>
  <c r="M453" i="4"/>
  <c r="K453" i="4"/>
  <c r="S452" i="4"/>
  <c r="R452" i="4"/>
  <c r="Q452" i="4"/>
  <c r="P452" i="4"/>
  <c r="O452" i="4"/>
  <c r="N452" i="4"/>
  <c r="M452" i="4"/>
  <c r="L452" i="4"/>
  <c r="K452" i="4"/>
  <c r="S451" i="4"/>
  <c r="R451" i="4"/>
  <c r="Q451" i="4"/>
  <c r="P451" i="4"/>
  <c r="O451" i="4"/>
  <c r="N451" i="4"/>
  <c r="M451" i="4"/>
  <c r="L451" i="4"/>
  <c r="K451" i="4"/>
  <c r="S442" i="4"/>
  <c r="S441" i="4"/>
  <c r="S440" i="4"/>
  <c r="S439" i="4"/>
  <c r="S438" i="4"/>
  <c r="S436" i="4"/>
  <c r="S434" i="4"/>
  <c r="S426" i="4"/>
  <c r="Q426" i="4"/>
  <c r="O426" i="4"/>
  <c r="N426" i="4"/>
  <c r="M426" i="4"/>
  <c r="K426" i="4"/>
  <c r="S425" i="4"/>
  <c r="Q425" i="4"/>
  <c r="O425" i="4"/>
  <c r="N425" i="4"/>
  <c r="M425" i="4"/>
  <c r="K425" i="4"/>
  <c r="S424" i="4"/>
  <c r="Q424" i="4"/>
  <c r="O424" i="4"/>
  <c r="N424" i="4"/>
  <c r="M424" i="4"/>
  <c r="K424" i="4"/>
  <c r="S423" i="4"/>
  <c r="Q423" i="4"/>
  <c r="O423" i="4"/>
  <c r="N423" i="4"/>
  <c r="M423" i="4"/>
  <c r="K423" i="4"/>
  <c r="S422" i="4"/>
  <c r="Q422" i="4"/>
  <c r="O422" i="4"/>
  <c r="N422" i="4"/>
  <c r="M422" i="4"/>
  <c r="K422" i="4"/>
  <c r="S421" i="4"/>
  <c r="Q421" i="4"/>
  <c r="O421" i="4"/>
  <c r="N421" i="4"/>
  <c r="M421" i="4"/>
  <c r="K421" i="4"/>
  <c r="S420" i="4"/>
  <c r="Q420" i="4"/>
  <c r="O420" i="4"/>
  <c r="N420" i="4"/>
  <c r="M420" i="4"/>
  <c r="K420" i="4"/>
  <c r="S419" i="4"/>
  <c r="Q419" i="4"/>
  <c r="O419" i="4"/>
  <c r="N419" i="4"/>
  <c r="M419" i="4"/>
  <c r="K419" i="4"/>
  <c r="S418" i="4"/>
  <c r="Q418" i="4"/>
  <c r="O418" i="4"/>
  <c r="N418" i="4"/>
  <c r="K418" i="4"/>
  <c r="S417" i="4"/>
  <c r="Q417" i="4"/>
  <c r="O417" i="4"/>
  <c r="N417" i="4"/>
  <c r="K417" i="4"/>
  <c r="S416" i="4"/>
  <c r="Q416" i="4"/>
  <c r="O416" i="4"/>
  <c r="N416" i="4"/>
  <c r="M416" i="4"/>
  <c r="K416" i="4"/>
  <c r="S415" i="4"/>
  <c r="Q415" i="4"/>
  <c r="O415" i="4"/>
  <c r="N415" i="4"/>
  <c r="M415" i="4"/>
  <c r="K415" i="4"/>
  <c r="S414" i="4"/>
  <c r="Q414" i="4"/>
  <c r="O414" i="4"/>
  <c r="N414" i="4"/>
  <c r="M414" i="4"/>
  <c r="K414" i="4"/>
  <c r="S413" i="4"/>
  <c r="Q413" i="4"/>
  <c r="O413" i="4"/>
  <c r="N413" i="4"/>
  <c r="M413" i="4"/>
  <c r="K413" i="4"/>
  <c r="S412" i="4"/>
  <c r="Q412" i="4"/>
  <c r="O412" i="4"/>
  <c r="N412" i="4"/>
  <c r="M412" i="4"/>
  <c r="K412" i="4"/>
  <c r="S411" i="4"/>
  <c r="Q411" i="4"/>
  <c r="O411" i="4"/>
  <c r="N411" i="4"/>
  <c r="M411" i="4"/>
  <c r="K411" i="4"/>
  <c r="S410" i="4"/>
  <c r="Q410" i="4"/>
  <c r="O410" i="4"/>
  <c r="N410" i="4"/>
  <c r="M410" i="4"/>
  <c r="K410" i="4"/>
  <c r="S409" i="4"/>
  <c r="Q409" i="4"/>
  <c r="O409" i="4"/>
  <c r="N409" i="4"/>
  <c r="M409" i="4"/>
  <c r="K409" i="4"/>
  <c r="S408" i="4"/>
  <c r="Q408" i="4"/>
  <c r="O408" i="4"/>
  <c r="N408" i="4"/>
  <c r="M408" i="4"/>
  <c r="K408" i="4"/>
  <c r="S407" i="4"/>
  <c r="Q407" i="4"/>
  <c r="O407" i="4"/>
  <c r="N407" i="4"/>
  <c r="M407" i="4"/>
  <c r="K407" i="4"/>
  <c r="S406" i="4"/>
  <c r="Q406" i="4"/>
  <c r="O406" i="4"/>
  <c r="N406" i="4"/>
  <c r="M406" i="4"/>
  <c r="K406" i="4"/>
  <c r="S405" i="4"/>
  <c r="Q405" i="4"/>
  <c r="O405" i="4"/>
  <c r="N405" i="4"/>
  <c r="M405" i="4"/>
  <c r="K405" i="4"/>
  <c r="S404" i="4"/>
  <c r="Q404" i="4"/>
  <c r="O404" i="4"/>
  <c r="N404" i="4"/>
  <c r="M404" i="4"/>
  <c r="K404" i="4"/>
  <c r="S403" i="4"/>
  <c r="Q403" i="4"/>
  <c r="O403" i="4"/>
  <c r="N403" i="4"/>
  <c r="M403" i="4"/>
  <c r="K403" i="4"/>
  <c r="S402" i="4"/>
  <c r="Q402" i="4"/>
  <c r="O402" i="4"/>
  <c r="N402" i="4"/>
  <c r="M402" i="4"/>
  <c r="K402" i="4"/>
  <c r="S401" i="4"/>
  <c r="Q401" i="4"/>
  <c r="O401" i="4"/>
  <c r="N401" i="4"/>
  <c r="M401" i="4"/>
  <c r="K401" i="4"/>
  <c r="S400" i="4"/>
  <c r="Q400" i="4"/>
  <c r="O400" i="4"/>
  <c r="N400" i="4"/>
  <c r="M400" i="4"/>
  <c r="K400" i="4"/>
  <c r="S399" i="4"/>
  <c r="Q399" i="4"/>
  <c r="O399" i="4"/>
  <c r="N399" i="4"/>
  <c r="M399" i="4"/>
  <c r="K399" i="4"/>
  <c r="Q398" i="4"/>
  <c r="O398" i="4"/>
  <c r="N398" i="4"/>
  <c r="M398" i="4"/>
  <c r="K398" i="4"/>
  <c r="S397" i="4"/>
  <c r="Q397" i="4"/>
  <c r="O397" i="4"/>
  <c r="N397" i="4"/>
  <c r="M397" i="4"/>
  <c r="K397" i="4"/>
  <c r="S396" i="4"/>
  <c r="Q396" i="4"/>
  <c r="O396" i="4"/>
  <c r="N396" i="4"/>
  <c r="M396" i="4"/>
  <c r="K396" i="4"/>
  <c r="S395" i="4"/>
  <c r="Q395" i="4"/>
  <c r="O395" i="4"/>
  <c r="N395" i="4"/>
  <c r="M395" i="4"/>
  <c r="K395" i="4"/>
  <c r="S394" i="4"/>
  <c r="Q394" i="4"/>
  <c r="N394" i="4"/>
  <c r="M394" i="4"/>
  <c r="K394" i="4"/>
  <c r="S393" i="4"/>
  <c r="Q393" i="4"/>
  <c r="N393" i="4"/>
  <c r="M393" i="4"/>
  <c r="K393" i="4"/>
  <c r="S392" i="4"/>
  <c r="Q392" i="4"/>
  <c r="O392" i="4"/>
  <c r="N392" i="4"/>
  <c r="M392" i="4"/>
  <c r="K392" i="4"/>
  <c r="S391" i="4"/>
  <c r="Q391" i="4"/>
  <c r="O391" i="4"/>
  <c r="N391" i="4"/>
  <c r="M391" i="4"/>
  <c r="K391" i="4"/>
  <c r="S390" i="4"/>
  <c r="Q390" i="4"/>
  <c r="O390" i="4"/>
  <c r="N390" i="4"/>
  <c r="M390" i="4"/>
  <c r="K390" i="4"/>
  <c r="S389" i="4"/>
  <c r="Q389" i="4"/>
  <c r="O389" i="4"/>
  <c r="N389" i="4"/>
  <c r="M389" i="4"/>
  <c r="K389" i="4"/>
  <c r="S388" i="4"/>
  <c r="Q388" i="4"/>
  <c r="O388" i="4"/>
  <c r="N388" i="4"/>
  <c r="M388" i="4"/>
  <c r="K388" i="4"/>
  <c r="S387" i="4"/>
  <c r="Q387" i="4"/>
  <c r="O387" i="4"/>
  <c r="N387" i="4"/>
  <c r="M387" i="4"/>
  <c r="K387" i="4"/>
  <c r="S386" i="4"/>
  <c r="Q386" i="4"/>
  <c r="O386" i="4"/>
  <c r="N386" i="4"/>
  <c r="M386" i="4"/>
  <c r="K386" i="4"/>
  <c r="S385" i="4"/>
  <c r="Q385" i="4"/>
  <c r="O385" i="4"/>
  <c r="N385" i="4"/>
  <c r="M385" i="4"/>
  <c r="K385" i="4"/>
  <c r="S384" i="4"/>
  <c r="Q384" i="4"/>
  <c r="O384" i="4"/>
  <c r="N384" i="4"/>
  <c r="M384" i="4"/>
  <c r="K384" i="4"/>
  <c r="S383" i="4"/>
  <c r="Q383" i="4"/>
  <c r="O383" i="4"/>
  <c r="N383" i="4"/>
  <c r="M383" i="4"/>
  <c r="K383" i="4"/>
  <c r="S382" i="4"/>
  <c r="Q382" i="4"/>
  <c r="O382" i="4"/>
  <c r="M382" i="4"/>
  <c r="K382" i="4"/>
  <c r="S381" i="4"/>
  <c r="Q381" i="4"/>
  <c r="K381" i="4"/>
  <c r="S380" i="4"/>
  <c r="Q380" i="4"/>
  <c r="O380" i="4"/>
  <c r="N380" i="4"/>
  <c r="M380" i="4"/>
  <c r="K380" i="4"/>
  <c r="S379" i="4"/>
  <c r="Q379" i="4"/>
  <c r="O379" i="4"/>
  <c r="N379" i="4"/>
  <c r="M379" i="4"/>
  <c r="K379" i="4"/>
  <c r="S378" i="4"/>
  <c r="Q378" i="4"/>
  <c r="O378" i="4"/>
  <c r="N378" i="4"/>
  <c r="M378" i="4"/>
  <c r="K378" i="4"/>
  <c r="S377" i="4"/>
  <c r="Q377" i="4"/>
  <c r="O377" i="4"/>
  <c r="N377" i="4"/>
  <c r="M377" i="4"/>
  <c r="K377" i="4"/>
  <c r="S376" i="4"/>
  <c r="Q376" i="4"/>
  <c r="O376" i="4"/>
  <c r="N376" i="4"/>
  <c r="M376" i="4"/>
  <c r="K376" i="4"/>
  <c r="S375" i="4"/>
  <c r="Q375" i="4"/>
  <c r="O375" i="4"/>
  <c r="N375" i="4"/>
  <c r="M375" i="4"/>
  <c r="K375" i="4"/>
  <c r="S374" i="4"/>
  <c r="Q374" i="4"/>
  <c r="O374" i="4"/>
  <c r="N374" i="4"/>
  <c r="M374" i="4"/>
  <c r="K374" i="4"/>
  <c r="S373" i="4"/>
  <c r="Q373" i="4"/>
  <c r="O373" i="4"/>
  <c r="N373" i="4"/>
  <c r="M373" i="4"/>
  <c r="K373" i="4"/>
  <c r="S372" i="4"/>
  <c r="Q372" i="4"/>
  <c r="O372" i="4"/>
  <c r="N372" i="4"/>
  <c r="M372" i="4"/>
  <c r="K372" i="4"/>
  <c r="S371" i="4"/>
  <c r="O371" i="4"/>
  <c r="N371" i="4"/>
  <c r="K371" i="4"/>
  <c r="S370" i="4"/>
  <c r="Q370" i="4"/>
  <c r="O370" i="4"/>
  <c r="N370" i="4"/>
  <c r="M370" i="4"/>
  <c r="K370" i="4"/>
  <c r="S369" i="4"/>
  <c r="Q369" i="4"/>
  <c r="O369" i="4"/>
  <c r="N369" i="4"/>
  <c r="M369" i="4"/>
  <c r="K369" i="4"/>
  <c r="S368" i="4"/>
  <c r="Q368" i="4"/>
  <c r="O368" i="4"/>
  <c r="N368" i="4"/>
  <c r="M368" i="4"/>
  <c r="K368" i="4"/>
  <c r="S367" i="4"/>
  <c r="Q367" i="4"/>
  <c r="O367" i="4"/>
  <c r="N367" i="4"/>
  <c r="M367" i="4"/>
  <c r="K367" i="4"/>
  <c r="S366" i="4"/>
  <c r="O366" i="4"/>
  <c r="N366" i="4"/>
  <c r="M366" i="4"/>
  <c r="K366" i="4"/>
  <c r="S365" i="4"/>
  <c r="Q365" i="4"/>
  <c r="O365" i="4"/>
  <c r="N365" i="4"/>
  <c r="M365" i="4"/>
  <c r="K365" i="4"/>
  <c r="S364" i="4"/>
  <c r="Q364" i="4"/>
  <c r="O364" i="4"/>
  <c r="N364" i="4"/>
  <c r="M364" i="4"/>
  <c r="K364" i="4"/>
  <c r="S363" i="4"/>
  <c r="Q363" i="4"/>
  <c r="O363" i="4"/>
  <c r="N363" i="4"/>
  <c r="M363" i="4"/>
  <c r="K363" i="4"/>
  <c r="S362" i="4"/>
  <c r="Q362" i="4"/>
  <c r="O362" i="4"/>
  <c r="N362" i="4"/>
  <c r="M362" i="4"/>
  <c r="K362" i="4"/>
  <c r="S361" i="4"/>
  <c r="Q361" i="4"/>
  <c r="O361" i="4"/>
  <c r="N361" i="4"/>
  <c r="M361" i="4"/>
  <c r="K361" i="4"/>
  <c r="S360" i="4"/>
  <c r="Q360" i="4"/>
  <c r="O360" i="4"/>
  <c r="N360" i="4"/>
  <c r="M360" i="4"/>
  <c r="K360" i="4"/>
  <c r="S359" i="4"/>
  <c r="Q359" i="4"/>
  <c r="O359" i="4"/>
  <c r="N359" i="4"/>
  <c r="M359" i="4"/>
  <c r="K359" i="4"/>
  <c r="S358" i="4"/>
  <c r="Q358" i="4"/>
  <c r="O358" i="4"/>
  <c r="N358" i="4"/>
  <c r="M358" i="4"/>
  <c r="K358" i="4"/>
  <c r="S357" i="4"/>
  <c r="Q357" i="4"/>
  <c r="O357" i="4"/>
  <c r="N357" i="4"/>
  <c r="M357" i="4"/>
  <c r="K357" i="4"/>
  <c r="S356" i="4"/>
  <c r="Q356" i="4"/>
  <c r="O356" i="4"/>
  <c r="N356" i="4"/>
  <c r="M356" i="4"/>
  <c r="K356" i="4"/>
  <c r="S355" i="4"/>
  <c r="Q355" i="4"/>
  <c r="O355" i="4"/>
  <c r="N355" i="4"/>
  <c r="M355" i="4"/>
  <c r="K355" i="4"/>
  <c r="S354" i="4"/>
  <c r="Q354" i="4"/>
  <c r="O354" i="4"/>
  <c r="N354" i="4"/>
  <c r="M354" i="4"/>
  <c r="K354" i="4"/>
  <c r="S353" i="4"/>
  <c r="Q353" i="4"/>
  <c r="O353" i="4"/>
  <c r="N353" i="4"/>
  <c r="M353" i="4"/>
  <c r="K353" i="4"/>
  <c r="S352" i="4"/>
  <c r="Q352" i="4"/>
  <c r="O352" i="4"/>
  <c r="N352" i="4"/>
  <c r="M352" i="4"/>
  <c r="K352" i="4"/>
  <c r="S351" i="4"/>
  <c r="Q351" i="4"/>
  <c r="O351" i="4"/>
  <c r="N351" i="4"/>
  <c r="M351" i="4"/>
  <c r="K351" i="4"/>
  <c r="S350" i="4"/>
  <c r="Q350" i="4"/>
  <c r="O350" i="4"/>
  <c r="N350" i="4"/>
  <c r="M350" i="4"/>
  <c r="K350" i="4"/>
  <c r="S349" i="4"/>
  <c r="Q349" i="4"/>
  <c r="O349" i="4"/>
  <c r="N349" i="4"/>
  <c r="M349" i="4"/>
  <c r="K349" i="4"/>
  <c r="S348" i="4"/>
  <c r="Q348" i="4"/>
  <c r="O348" i="4"/>
  <c r="N348" i="4"/>
  <c r="M348" i="4"/>
  <c r="K348" i="4"/>
  <c r="S347" i="4"/>
  <c r="Q347" i="4"/>
  <c r="O347" i="4"/>
  <c r="N347" i="4"/>
  <c r="M347" i="4"/>
  <c r="K347" i="4"/>
  <c r="S346" i="4"/>
  <c r="Q346" i="4"/>
  <c r="O346" i="4"/>
  <c r="N346" i="4"/>
  <c r="M346" i="4"/>
  <c r="K346" i="4"/>
  <c r="S345" i="4"/>
  <c r="Q345" i="4"/>
  <c r="O345" i="4"/>
  <c r="N345" i="4"/>
  <c r="M345" i="4"/>
  <c r="K345" i="4"/>
  <c r="S344" i="4"/>
  <c r="Q344" i="4"/>
  <c r="O344" i="4"/>
  <c r="N344" i="4"/>
  <c r="M344" i="4"/>
  <c r="K344" i="4"/>
  <c r="S343" i="4"/>
  <c r="Q343" i="4"/>
  <c r="O343" i="4"/>
  <c r="N343" i="4"/>
  <c r="M343" i="4"/>
  <c r="K343" i="4"/>
  <c r="S342" i="4"/>
  <c r="Q342" i="4"/>
  <c r="O342" i="4"/>
  <c r="N342" i="4"/>
  <c r="M342" i="4"/>
  <c r="K342" i="4"/>
  <c r="S341" i="4"/>
  <c r="Q341" i="4"/>
  <c r="O341" i="4"/>
  <c r="N341" i="4"/>
  <c r="M341" i="4"/>
  <c r="K341" i="4"/>
  <c r="S340" i="4"/>
  <c r="Q340" i="4"/>
  <c r="O340" i="4"/>
  <c r="N340" i="4"/>
  <c r="M340" i="4"/>
  <c r="K340" i="4"/>
  <c r="S339" i="4"/>
  <c r="Q339" i="4"/>
  <c r="O339" i="4"/>
  <c r="N339" i="4"/>
  <c r="M339" i="4"/>
  <c r="K339" i="4"/>
  <c r="S338" i="4"/>
  <c r="Q338" i="4"/>
  <c r="O338" i="4"/>
  <c r="N338" i="4"/>
  <c r="M338" i="4"/>
  <c r="K338" i="4"/>
  <c r="S337" i="4"/>
  <c r="Q337" i="4"/>
  <c r="O337" i="4"/>
  <c r="N337" i="4"/>
  <c r="M337" i="4"/>
  <c r="K337" i="4"/>
  <c r="S336" i="4"/>
  <c r="Q336" i="4"/>
  <c r="O336" i="4"/>
  <c r="N336" i="4"/>
  <c r="M336" i="4"/>
  <c r="K336" i="4"/>
  <c r="S335" i="4"/>
  <c r="Q335" i="4"/>
  <c r="O335" i="4"/>
  <c r="N335" i="4"/>
  <c r="M335" i="4"/>
  <c r="K335" i="4"/>
  <c r="S334" i="4"/>
  <c r="Q334" i="4"/>
  <c r="O334" i="4"/>
  <c r="N334" i="4"/>
  <c r="M334" i="4"/>
  <c r="K334" i="4"/>
  <c r="S333" i="4"/>
  <c r="Q333" i="4"/>
  <c r="O333" i="4"/>
  <c r="N333" i="4"/>
  <c r="M333" i="4"/>
  <c r="K333" i="4"/>
  <c r="S332" i="4"/>
  <c r="Q332" i="4"/>
  <c r="O332" i="4"/>
  <c r="N332" i="4"/>
  <c r="M332" i="4"/>
  <c r="K332" i="4"/>
  <c r="S331" i="4"/>
  <c r="Q331" i="4"/>
  <c r="O331" i="4"/>
  <c r="N331" i="4"/>
  <c r="M331" i="4"/>
  <c r="K331" i="4"/>
  <c r="S330" i="4"/>
  <c r="Q330" i="4"/>
  <c r="O330" i="4"/>
  <c r="N330" i="4"/>
  <c r="M330" i="4"/>
  <c r="K330" i="4"/>
  <c r="S329" i="4"/>
  <c r="Q329" i="4"/>
  <c r="O329" i="4"/>
  <c r="N329" i="4"/>
  <c r="M329" i="4"/>
  <c r="K329" i="4"/>
  <c r="S328" i="4"/>
  <c r="Q328" i="4"/>
  <c r="O328" i="4"/>
  <c r="N328" i="4"/>
  <c r="M328" i="4"/>
  <c r="K328" i="4"/>
  <c r="S327" i="4"/>
  <c r="Q327" i="4"/>
  <c r="O327" i="4"/>
  <c r="N327" i="4"/>
  <c r="M327" i="4"/>
  <c r="K327" i="4"/>
  <c r="S326" i="4"/>
  <c r="Q326" i="4"/>
  <c r="O326" i="4"/>
  <c r="N326" i="4"/>
  <c r="M326" i="4"/>
  <c r="K326" i="4"/>
  <c r="S325" i="4"/>
  <c r="Q325" i="4"/>
  <c r="O325" i="4"/>
  <c r="N325" i="4"/>
  <c r="M325" i="4"/>
  <c r="K325" i="4"/>
  <c r="S324" i="4"/>
  <c r="Q324" i="4"/>
  <c r="O324" i="4"/>
  <c r="N324" i="4"/>
  <c r="M324" i="4"/>
  <c r="K324" i="4"/>
  <c r="S323" i="4"/>
  <c r="Q323" i="4"/>
  <c r="O323" i="4"/>
  <c r="N323" i="4"/>
  <c r="M323" i="4"/>
  <c r="K323" i="4"/>
  <c r="S322" i="4"/>
  <c r="Q322" i="4"/>
  <c r="O322" i="4"/>
  <c r="N322" i="4"/>
  <c r="M322" i="4"/>
  <c r="K322" i="4"/>
  <c r="S321" i="4"/>
  <c r="Q321" i="4"/>
  <c r="O321" i="4"/>
  <c r="N321" i="4"/>
  <c r="M321" i="4"/>
  <c r="K321" i="4"/>
  <c r="S320" i="4"/>
  <c r="Q320" i="4"/>
  <c r="O320" i="4"/>
  <c r="N320" i="4"/>
  <c r="M320" i="4"/>
  <c r="K320" i="4"/>
  <c r="S319" i="4"/>
  <c r="Q319" i="4"/>
  <c r="O319" i="4"/>
  <c r="N319" i="4"/>
  <c r="K319" i="4"/>
  <c r="S318" i="4"/>
  <c r="Q318" i="4"/>
  <c r="O318" i="4"/>
  <c r="M318" i="4"/>
  <c r="K318" i="4"/>
  <c r="S317" i="4"/>
  <c r="Q317" i="4"/>
  <c r="O317" i="4"/>
  <c r="N317" i="4"/>
  <c r="M317" i="4"/>
  <c r="K317" i="4"/>
  <c r="S316" i="4"/>
  <c r="Q316" i="4"/>
  <c r="O316" i="4"/>
  <c r="N316" i="4"/>
  <c r="M316" i="4"/>
  <c r="K316" i="4"/>
  <c r="S315" i="4"/>
  <c r="Q315" i="4"/>
  <c r="O315" i="4"/>
  <c r="N315" i="4"/>
  <c r="M315" i="4"/>
  <c r="K315" i="4"/>
  <c r="S314" i="4"/>
  <c r="Q314" i="4"/>
  <c r="O314" i="4"/>
  <c r="N314" i="4"/>
  <c r="M314" i="4"/>
  <c r="K314" i="4"/>
  <c r="S313" i="4"/>
  <c r="Q313" i="4"/>
  <c r="O313" i="4"/>
  <c r="N313" i="4"/>
  <c r="M313" i="4"/>
  <c r="K313" i="4"/>
  <c r="S312" i="4"/>
  <c r="Q312" i="4"/>
  <c r="O312" i="4"/>
  <c r="N312" i="4"/>
  <c r="M312" i="4"/>
  <c r="K312" i="4"/>
  <c r="S311" i="4"/>
  <c r="Q311" i="4"/>
  <c r="O311" i="4"/>
  <c r="N311" i="4"/>
  <c r="M311" i="4"/>
  <c r="K311" i="4"/>
  <c r="S310" i="4"/>
  <c r="Q310" i="4"/>
  <c r="O310" i="4"/>
  <c r="N310" i="4"/>
  <c r="M310" i="4"/>
  <c r="K310" i="4"/>
  <c r="S309" i="4"/>
  <c r="Q309" i="4"/>
  <c r="O309" i="4"/>
  <c r="N309" i="4"/>
  <c r="M309" i="4"/>
  <c r="K309" i="4"/>
  <c r="S308" i="4"/>
  <c r="R308" i="4"/>
  <c r="Q308" i="4"/>
  <c r="P308" i="4"/>
  <c r="O308" i="4"/>
  <c r="N308" i="4"/>
  <c r="M308" i="4"/>
  <c r="L308" i="4"/>
  <c r="K308" i="4"/>
  <c r="S307" i="4"/>
  <c r="R307" i="4"/>
  <c r="Q307" i="4"/>
  <c r="P307" i="4"/>
  <c r="O307" i="4"/>
  <c r="N307" i="4"/>
  <c r="M307" i="4"/>
  <c r="L307" i="4"/>
  <c r="K307" i="4"/>
  <c r="S306" i="4"/>
  <c r="R306" i="4"/>
  <c r="Q306" i="4"/>
  <c r="P306" i="4"/>
  <c r="O306" i="4"/>
  <c r="N306" i="4"/>
  <c r="M306" i="4"/>
  <c r="L306" i="4"/>
  <c r="K306" i="4"/>
  <c r="S305" i="4"/>
  <c r="R305" i="4"/>
  <c r="Q305" i="4"/>
  <c r="P305" i="4"/>
  <c r="O305" i="4"/>
  <c r="N305" i="4"/>
  <c r="M305" i="4"/>
  <c r="L305" i="4"/>
  <c r="K305" i="4"/>
  <c r="M304" i="4"/>
  <c r="L304" i="4"/>
  <c r="K304" i="4"/>
  <c r="M303" i="4"/>
  <c r="L303" i="4"/>
  <c r="K303" i="4"/>
  <c r="M302" i="4"/>
  <c r="L302" i="4"/>
  <c r="K302" i="4"/>
  <c r="M301" i="4"/>
  <c r="L301" i="4"/>
  <c r="K301" i="4"/>
  <c r="M300" i="4"/>
  <c r="L300" i="4"/>
  <c r="K300" i="4"/>
  <c r="M299" i="4"/>
  <c r="L299" i="4"/>
  <c r="K299" i="4"/>
  <c r="M298" i="4"/>
  <c r="L298" i="4"/>
  <c r="K298" i="4"/>
  <c r="M297" i="4"/>
  <c r="L297" i="4"/>
  <c r="K297" i="4"/>
  <c r="M296" i="4"/>
  <c r="L296" i="4"/>
  <c r="K296" i="4"/>
  <c r="M295" i="4"/>
  <c r="L295" i="4"/>
  <c r="K295" i="4"/>
  <c r="M294" i="4"/>
  <c r="L294" i="4"/>
  <c r="K294" i="4"/>
  <c r="M293" i="4"/>
  <c r="L293" i="4"/>
  <c r="K293" i="4"/>
  <c r="M292" i="4"/>
  <c r="L292" i="4"/>
  <c r="K292" i="4"/>
  <c r="M291" i="4"/>
  <c r="L291" i="4"/>
  <c r="K291" i="4"/>
  <c r="M290" i="4"/>
  <c r="L290" i="4"/>
  <c r="K290" i="4"/>
  <c r="M289" i="4"/>
  <c r="L289" i="4"/>
  <c r="K289" i="4"/>
  <c r="M288" i="4"/>
  <c r="L288" i="4"/>
  <c r="K288" i="4"/>
  <c r="M287" i="4"/>
  <c r="L287" i="4"/>
  <c r="K287" i="4"/>
  <c r="M286" i="4"/>
  <c r="L286" i="4"/>
  <c r="K286" i="4"/>
  <c r="M285" i="4"/>
  <c r="L285" i="4"/>
  <c r="K285" i="4"/>
  <c r="M284" i="4"/>
  <c r="L284" i="4"/>
  <c r="K284" i="4"/>
  <c r="M283" i="4"/>
  <c r="L283" i="4"/>
  <c r="K283" i="4"/>
  <c r="M282" i="4"/>
  <c r="L282" i="4"/>
  <c r="K282" i="4"/>
  <c r="M281" i="4"/>
  <c r="L281" i="4"/>
  <c r="K281" i="4"/>
  <c r="M280" i="4"/>
  <c r="L280" i="4"/>
  <c r="K280" i="4"/>
  <c r="M279" i="4"/>
  <c r="L279" i="4"/>
  <c r="K279" i="4"/>
  <c r="M278" i="4"/>
  <c r="L278" i="4"/>
  <c r="K278" i="4"/>
  <c r="M277" i="4"/>
  <c r="L277" i="4"/>
  <c r="K277" i="4"/>
  <c r="M276" i="4"/>
  <c r="L276" i="4"/>
  <c r="K276" i="4"/>
  <c r="M275" i="4"/>
  <c r="L275" i="4"/>
  <c r="K275" i="4"/>
  <c r="M274" i="4"/>
  <c r="L274" i="4"/>
  <c r="K274" i="4"/>
  <c r="M273" i="4"/>
  <c r="L273" i="4"/>
  <c r="K273" i="4"/>
  <c r="M272" i="4"/>
  <c r="L272" i="4"/>
  <c r="K272" i="4"/>
  <c r="M271" i="4"/>
  <c r="L271" i="4"/>
  <c r="K271" i="4"/>
  <c r="M270" i="4"/>
  <c r="L270" i="4"/>
  <c r="K270" i="4"/>
  <c r="M269" i="4"/>
  <c r="L269" i="4"/>
  <c r="K269" i="4"/>
  <c r="M268" i="4"/>
  <c r="L268" i="4"/>
  <c r="K268" i="4"/>
  <c r="M267" i="4"/>
  <c r="L267" i="4"/>
  <c r="K267" i="4"/>
  <c r="M266" i="4"/>
  <c r="L266" i="4"/>
  <c r="K266" i="4"/>
  <c r="M265" i="4"/>
  <c r="L265" i="4"/>
  <c r="K265" i="4"/>
  <c r="M264" i="4"/>
  <c r="L264" i="4"/>
  <c r="K264" i="4"/>
  <c r="M263" i="4"/>
  <c r="L263" i="4"/>
  <c r="K263" i="4"/>
  <c r="Q262" i="4"/>
  <c r="P262" i="4"/>
  <c r="O262" i="4"/>
  <c r="N262" i="4"/>
  <c r="Q261" i="4"/>
  <c r="P261" i="4"/>
  <c r="O261" i="4"/>
  <c r="N261" i="4"/>
  <c r="N260" i="4"/>
  <c r="M260" i="4"/>
  <c r="L260" i="4"/>
  <c r="K260" i="4"/>
  <c r="N259" i="4"/>
  <c r="M259" i="4"/>
  <c r="L259" i="4"/>
  <c r="K259" i="4"/>
  <c r="N258" i="4"/>
  <c r="M258" i="4"/>
  <c r="L258" i="4"/>
  <c r="K258" i="4"/>
  <c r="N257" i="4"/>
  <c r="M257" i="4"/>
  <c r="L257" i="4"/>
  <c r="K257" i="4"/>
  <c r="N256" i="4"/>
  <c r="M256" i="4"/>
  <c r="L256" i="4"/>
  <c r="K256" i="4"/>
  <c r="N255" i="4"/>
  <c r="M255" i="4"/>
  <c r="L255" i="4"/>
  <c r="K255" i="4"/>
  <c r="N254" i="4"/>
  <c r="M254" i="4"/>
  <c r="L254" i="4"/>
  <c r="K254" i="4"/>
  <c r="N253" i="4"/>
  <c r="M253" i="4"/>
  <c r="L253" i="4"/>
  <c r="K253" i="4"/>
  <c r="N252" i="4"/>
  <c r="M252" i="4"/>
  <c r="L252" i="4"/>
  <c r="K252" i="4"/>
  <c r="N251" i="4"/>
  <c r="M251" i="4"/>
  <c r="L251" i="4"/>
  <c r="K251" i="4"/>
  <c r="N250" i="4"/>
  <c r="M250" i="4"/>
  <c r="L250" i="4"/>
  <c r="K250" i="4"/>
  <c r="N249" i="4"/>
  <c r="M249" i="4"/>
  <c r="L249" i="4"/>
  <c r="K249" i="4"/>
  <c r="M248" i="4"/>
  <c r="L248" i="4"/>
  <c r="K248" i="4"/>
  <c r="N247" i="4"/>
  <c r="M247" i="4"/>
  <c r="L247" i="4"/>
  <c r="K247" i="4"/>
  <c r="N246" i="4"/>
  <c r="M246" i="4"/>
  <c r="K246" i="4"/>
  <c r="N245" i="4"/>
  <c r="M245" i="4"/>
  <c r="L245" i="4"/>
  <c r="K245" i="4"/>
  <c r="N244" i="4"/>
  <c r="M244" i="4"/>
  <c r="L244" i="4"/>
  <c r="K244" i="4"/>
  <c r="N243" i="4"/>
  <c r="M243" i="4"/>
  <c r="L243" i="4"/>
  <c r="K243" i="4"/>
  <c r="N242" i="4"/>
  <c r="M242" i="4"/>
  <c r="L242" i="4"/>
  <c r="K242" i="4"/>
  <c r="N241" i="4"/>
  <c r="M241" i="4"/>
  <c r="L241" i="4"/>
  <c r="K241" i="4"/>
  <c r="M240" i="4"/>
  <c r="L240" i="4"/>
  <c r="K240" i="4"/>
  <c r="N239" i="4"/>
  <c r="M239" i="4"/>
  <c r="L239" i="4"/>
  <c r="K239" i="4"/>
  <c r="N238" i="4"/>
  <c r="M238" i="4"/>
  <c r="L238" i="4"/>
  <c r="K238" i="4"/>
  <c r="N237" i="4"/>
  <c r="M237" i="4"/>
  <c r="L237" i="4"/>
  <c r="K237" i="4"/>
  <c r="N236" i="4"/>
  <c r="M236" i="4"/>
  <c r="L236" i="4"/>
  <c r="K236" i="4"/>
  <c r="M235" i="4"/>
  <c r="L235" i="4"/>
  <c r="K235" i="4"/>
  <c r="N234" i="4"/>
  <c r="M234" i="4"/>
  <c r="L234" i="4"/>
  <c r="K234" i="4"/>
  <c r="N233" i="4"/>
  <c r="M233" i="4"/>
  <c r="L233" i="4"/>
  <c r="K233" i="4"/>
  <c r="N232" i="4"/>
  <c r="M232" i="4"/>
  <c r="L232" i="4"/>
  <c r="K232" i="4"/>
  <c r="N231" i="4"/>
  <c r="M231" i="4"/>
  <c r="L231" i="4"/>
  <c r="K231" i="4"/>
  <c r="N230" i="4"/>
  <c r="M230" i="4"/>
  <c r="L230" i="4"/>
  <c r="K230" i="4"/>
  <c r="M229" i="4"/>
  <c r="L229" i="4"/>
  <c r="K229" i="4"/>
  <c r="N228" i="4"/>
  <c r="M228" i="4"/>
  <c r="L228" i="4"/>
  <c r="K228" i="4"/>
  <c r="N227" i="4"/>
  <c r="M227" i="4"/>
  <c r="L227" i="4"/>
  <c r="K227" i="4"/>
  <c r="N226" i="4"/>
  <c r="M226" i="4"/>
  <c r="K226" i="4"/>
  <c r="N225" i="4"/>
  <c r="M225" i="4"/>
  <c r="L225" i="4"/>
  <c r="K225" i="4"/>
  <c r="M224" i="4"/>
  <c r="L224" i="4"/>
  <c r="K224" i="4"/>
  <c r="N223" i="4"/>
  <c r="M223" i="4"/>
  <c r="L223" i="4"/>
  <c r="K223" i="4"/>
  <c r="N222" i="4"/>
  <c r="M222" i="4"/>
  <c r="L222" i="4"/>
  <c r="K222" i="4"/>
  <c r="N221" i="4"/>
  <c r="M221" i="4"/>
  <c r="L221" i="4"/>
  <c r="K221" i="4"/>
  <c r="N220" i="4"/>
  <c r="M220" i="4"/>
  <c r="L220" i="4"/>
  <c r="K220" i="4"/>
  <c r="N219" i="4"/>
  <c r="M219" i="4"/>
  <c r="L219" i="4"/>
  <c r="K219" i="4"/>
  <c r="N218" i="4"/>
  <c r="M218" i="4"/>
  <c r="L218" i="4"/>
  <c r="K218" i="4"/>
  <c r="N217" i="4"/>
  <c r="M217" i="4"/>
  <c r="L217" i="4"/>
  <c r="K217" i="4"/>
  <c r="N216" i="4"/>
  <c r="M216" i="4"/>
  <c r="L216" i="4"/>
  <c r="K216" i="4"/>
  <c r="N215" i="4"/>
  <c r="M215" i="4"/>
  <c r="L215" i="4"/>
  <c r="K215" i="4"/>
  <c r="N214" i="4"/>
  <c r="M214" i="4"/>
  <c r="L214" i="4"/>
  <c r="K214" i="4"/>
  <c r="N213" i="4"/>
  <c r="M213" i="4"/>
  <c r="L213" i="4"/>
  <c r="K213" i="4"/>
  <c r="N212" i="4"/>
  <c r="M212" i="4"/>
  <c r="L212" i="4"/>
  <c r="K212" i="4"/>
  <c r="M211" i="4"/>
  <c r="L211" i="4"/>
  <c r="K211" i="4"/>
  <c r="N210" i="4"/>
  <c r="M210" i="4"/>
  <c r="L210" i="4"/>
  <c r="K210" i="4"/>
  <c r="N209" i="4"/>
  <c r="M209" i="4"/>
  <c r="L209" i="4"/>
  <c r="K209" i="4"/>
  <c r="N208" i="4"/>
  <c r="M208" i="4"/>
  <c r="L208" i="4"/>
  <c r="K208" i="4"/>
  <c r="N207" i="4"/>
  <c r="M207" i="4"/>
  <c r="L207" i="4"/>
  <c r="K207" i="4"/>
  <c r="N206" i="4"/>
  <c r="M206" i="4"/>
  <c r="L206" i="4"/>
  <c r="K206" i="4"/>
  <c r="N205" i="4"/>
  <c r="M205" i="4"/>
  <c r="L205" i="4"/>
  <c r="K205" i="4"/>
  <c r="N204" i="4"/>
  <c r="M204" i="4"/>
  <c r="L204" i="4"/>
  <c r="K204" i="4"/>
  <c r="N203" i="4"/>
  <c r="M203" i="4"/>
  <c r="L203" i="4"/>
  <c r="K203" i="4"/>
  <c r="N202" i="4"/>
  <c r="M202" i="4"/>
  <c r="L202" i="4"/>
  <c r="K202" i="4"/>
  <c r="N201" i="4"/>
  <c r="M201" i="4"/>
  <c r="L201" i="4"/>
  <c r="K201" i="4"/>
  <c r="N200" i="4"/>
  <c r="M200" i="4"/>
  <c r="L200" i="4"/>
  <c r="K200" i="4"/>
  <c r="N199" i="4"/>
  <c r="M199" i="4"/>
  <c r="L199" i="4"/>
  <c r="K199" i="4"/>
  <c r="N198" i="4"/>
  <c r="M198" i="4"/>
  <c r="L198" i="4"/>
  <c r="K198" i="4"/>
  <c r="N197" i="4"/>
  <c r="M197" i="4"/>
  <c r="L197" i="4"/>
  <c r="K197" i="4"/>
  <c r="N196" i="4"/>
  <c r="M196" i="4"/>
  <c r="L196" i="4"/>
  <c r="K196" i="4"/>
  <c r="N195" i="4"/>
  <c r="M195" i="4"/>
  <c r="L195" i="4"/>
  <c r="K195" i="4"/>
  <c r="N194" i="4"/>
  <c r="M194" i="4"/>
  <c r="L194" i="4"/>
  <c r="K194" i="4"/>
  <c r="N193" i="4"/>
  <c r="M193" i="4"/>
  <c r="L193" i="4"/>
  <c r="K193" i="4"/>
  <c r="N192" i="4"/>
  <c r="M192" i="4"/>
  <c r="L192" i="4"/>
  <c r="K192" i="4"/>
  <c r="N191" i="4"/>
  <c r="M191" i="4"/>
  <c r="L191" i="4"/>
  <c r="K191" i="4"/>
  <c r="N190" i="4"/>
  <c r="M190" i="4"/>
  <c r="L190" i="4"/>
  <c r="K190" i="4"/>
  <c r="N189" i="4"/>
  <c r="M189" i="4"/>
  <c r="L189" i="4"/>
  <c r="K189" i="4"/>
  <c r="N188" i="4"/>
  <c r="M188" i="4"/>
  <c r="L188" i="4"/>
  <c r="K188" i="4"/>
  <c r="N187" i="4"/>
  <c r="M187" i="4"/>
  <c r="L187" i="4"/>
  <c r="K187" i="4"/>
  <c r="N186" i="4"/>
  <c r="M186" i="4"/>
  <c r="L186" i="4"/>
  <c r="K186" i="4"/>
  <c r="M185" i="4"/>
  <c r="L185" i="4"/>
  <c r="K185" i="4"/>
  <c r="N184" i="4"/>
  <c r="M184" i="4"/>
  <c r="L184" i="4"/>
  <c r="K184" i="4"/>
  <c r="N183" i="4"/>
  <c r="M183" i="4"/>
  <c r="L183" i="4"/>
  <c r="K183" i="4"/>
  <c r="N182" i="4"/>
  <c r="M182" i="4"/>
  <c r="L182" i="4"/>
  <c r="K182" i="4"/>
  <c r="N181" i="4"/>
  <c r="M181" i="4"/>
  <c r="L181" i="4"/>
  <c r="K181" i="4"/>
  <c r="N180" i="4"/>
  <c r="M180" i="4"/>
  <c r="L180" i="4"/>
  <c r="K180" i="4"/>
  <c r="N179" i="4"/>
  <c r="M179" i="4"/>
  <c r="L179" i="4"/>
  <c r="K179" i="4"/>
  <c r="N178" i="4"/>
  <c r="M178" i="4"/>
  <c r="L178" i="4"/>
  <c r="K178" i="4"/>
  <c r="N177" i="4"/>
  <c r="M177" i="4"/>
  <c r="L177" i="4"/>
  <c r="K177" i="4"/>
  <c r="N176" i="4"/>
  <c r="M176" i="4"/>
  <c r="L176" i="4"/>
  <c r="K176" i="4"/>
  <c r="N175" i="4"/>
  <c r="M175" i="4"/>
  <c r="L175" i="4"/>
  <c r="K175" i="4"/>
  <c r="N174" i="4"/>
  <c r="M174" i="4"/>
  <c r="L174" i="4"/>
  <c r="K174" i="4"/>
  <c r="N173" i="4"/>
  <c r="M173" i="4"/>
  <c r="L173" i="4"/>
  <c r="K173" i="4"/>
  <c r="N172" i="4"/>
  <c r="M172" i="4"/>
  <c r="L172" i="4"/>
  <c r="K172" i="4"/>
  <c r="N171" i="4"/>
  <c r="M171" i="4"/>
  <c r="L171" i="4"/>
  <c r="K171" i="4"/>
  <c r="N170" i="4"/>
  <c r="M170" i="4"/>
  <c r="L170" i="4"/>
  <c r="K170" i="4"/>
  <c r="N169" i="4"/>
  <c r="M169" i="4"/>
  <c r="L169" i="4"/>
  <c r="K169" i="4"/>
  <c r="N168" i="4"/>
  <c r="M168" i="4"/>
  <c r="L168" i="4"/>
  <c r="K168" i="4"/>
  <c r="N167" i="4"/>
  <c r="M167" i="4"/>
  <c r="L167" i="4"/>
  <c r="K167" i="4"/>
  <c r="N166" i="4"/>
  <c r="M166" i="4"/>
  <c r="L166" i="4"/>
  <c r="K166" i="4"/>
  <c r="N165" i="4"/>
  <c r="M165" i="4"/>
  <c r="L165" i="4"/>
  <c r="K165" i="4"/>
  <c r="N164" i="4"/>
  <c r="M164" i="4"/>
  <c r="L164" i="4"/>
  <c r="K164" i="4"/>
  <c r="N163" i="4"/>
  <c r="M163" i="4"/>
  <c r="L163" i="4"/>
  <c r="K163" i="4"/>
  <c r="N162" i="4"/>
  <c r="M162" i="4"/>
  <c r="L162" i="4"/>
  <c r="K162" i="4"/>
  <c r="N161" i="4"/>
  <c r="M161" i="4"/>
  <c r="L161" i="4"/>
  <c r="K161" i="4"/>
  <c r="N160" i="4"/>
  <c r="M160" i="4"/>
  <c r="L160" i="4"/>
  <c r="K160" i="4"/>
  <c r="N159" i="4"/>
  <c r="M159" i="4"/>
  <c r="L159" i="4"/>
  <c r="K159" i="4"/>
  <c r="N158" i="4"/>
  <c r="M158" i="4"/>
  <c r="L158" i="4"/>
  <c r="K158" i="4"/>
  <c r="N157" i="4"/>
  <c r="M157" i="4"/>
  <c r="L157" i="4"/>
  <c r="K157" i="4"/>
  <c r="N156" i="4"/>
  <c r="M156" i="4"/>
  <c r="L156" i="4"/>
  <c r="K156" i="4"/>
  <c r="N155" i="4"/>
  <c r="M155" i="4"/>
  <c r="L155" i="4"/>
  <c r="K155" i="4"/>
  <c r="N154" i="4"/>
  <c r="M154" i="4"/>
  <c r="L154" i="4"/>
  <c r="K154" i="4"/>
  <c r="N153" i="4"/>
  <c r="M153" i="4"/>
  <c r="L153" i="4"/>
  <c r="K153" i="4"/>
  <c r="N152" i="4"/>
  <c r="M152" i="4"/>
  <c r="L152" i="4"/>
  <c r="K152" i="4"/>
  <c r="N151" i="4"/>
  <c r="M151" i="4"/>
  <c r="L151" i="4"/>
  <c r="K151" i="4"/>
  <c r="N150" i="4"/>
  <c r="M150" i="4"/>
  <c r="L150" i="4"/>
  <c r="K150" i="4"/>
  <c r="N149" i="4"/>
  <c r="M149" i="4"/>
  <c r="L149" i="4"/>
  <c r="K149" i="4"/>
  <c r="N148" i="4"/>
  <c r="M148" i="4"/>
  <c r="L148" i="4"/>
  <c r="K148" i="4"/>
  <c r="N147" i="4"/>
  <c r="M147" i="4"/>
  <c r="L147" i="4"/>
  <c r="K147" i="4"/>
  <c r="N146" i="4"/>
  <c r="M146" i="4"/>
  <c r="L146" i="4"/>
  <c r="K146" i="4"/>
  <c r="N145" i="4"/>
  <c r="M145" i="4"/>
  <c r="L145" i="4"/>
  <c r="K145" i="4"/>
  <c r="N144" i="4"/>
  <c r="M144" i="4"/>
  <c r="L144" i="4"/>
  <c r="K144" i="4"/>
  <c r="N143" i="4"/>
  <c r="M143" i="4"/>
  <c r="L143" i="4"/>
  <c r="K143" i="4"/>
  <c r="N142" i="4"/>
  <c r="M142" i="4"/>
  <c r="L142" i="4"/>
  <c r="K142" i="4"/>
  <c r="N141" i="4"/>
  <c r="M141" i="4"/>
  <c r="L141" i="4"/>
  <c r="K141" i="4"/>
  <c r="N140" i="4"/>
  <c r="M140" i="4"/>
  <c r="L140" i="4"/>
  <c r="K140" i="4"/>
  <c r="N139" i="4"/>
  <c r="M139" i="4"/>
  <c r="L139" i="4"/>
  <c r="K139" i="4"/>
  <c r="N138" i="4"/>
  <c r="M138" i="4"/>
  <c r="L138" i="4"/>
  <c r="K138" i="4"/>
  <c r="N137" i="4"/>
  <c r="M137" i="4"/>
  <c r="L137" i="4"/>
  <c r="K137" i="4"/>
  <c r="N136" i="4"/>
  <c r="M136" i="4"/>
  <c r="L136" i="4"/>
  <c r="K136" i="4"/>
  <c r="N135" i="4"/>
  <c r="M135" i="4"/>
  <c r="L135" i="4"/>
  <c r="K135" i="4"/>
  <c r="N134" i="4"/>
  <c r="M134" i="4"/>
  <c r="L134" i="4"/>
  <c r="K134" i="4"/>
  <c r="N133" i="4"/>
  <c r="M133" i="4"/>
  <c r="L133" i="4"/>
  <c r="K133" i="4"/>
  <c r="N132" i="4"/>
  <c r="M132" i="4"/>
  <c r="L132" i="4"/>
  <c r="K132" i="4"/>
  <c r="N131" i="4"/>
  <c r="M131" i="4"/>
  <c r="L131" i="4"/>
  <c r="K131" i="4"/>
  <c r="N130" i="4"/>
  <c r="M130" i="4"/>
  <c r="L130" i="4"/>
  <c r="K130" i="4"/>
  <c r="N129" i="4"/>
  <c r="M129" i="4"/>
  <c r="L129" i="4"/>
  <c r="K129" i="4"/>
  <c r="N128" i="4"/>
  <c r="M128" i="4"/>
  <c r="L128" i="4"/>
  <c r="K128" i="4"/>
  <c r="N127" i="4"/>
  <c r="M127" i="4"/>
  <c r="L127" i="4"/>
  <c r="K127" i="4"/>
  <c r="N126" i="4"/>
  <c r="M126" i="4"/>
  <c r="L126" i="4"/>
  <c r="K126" i="4"/>
  <c r="N125" i="4"/>
  <c r="M125" i="4"/>
  <c r="L125" i="4"/>
  <c r="K125" i="4"/>
  <c r="N124" i="4"/>
  <c r="M124" i="4"/>
  <c r="L124" i="4"/>
  <c r="K124" i="4"/>
  <c r="N123" i="4"/>
  <c r="M123" i="4"/>
  <c r="L123" i="4"/>
  <c r="K123" i="4"/>
  <c r="L122" i="4"/>
  <c r="K122" i="4"/>
  <c r="N121" i="4"/>
  <c r="M121" i="4"/>
  <c r="L121" i="4"/>
  <c r="K121" i="4"/>
  <c r="N120" i="4"/>
  <c r="M120" i="4"/>
  <c r="L120" i="4"/>
  <c r="K120" i="4"/>
  <c r="N119" i="4"/>
  <c r="M119" i="4"/>
  <c r="L119" i="4"/>
  <c r="K119" i="4"/>
  <c r="N118" i="4"/>
  <c r="M118" i="4"/>
  <c r="L118" i="4"/>
  <c r="K118" i="4"/>
  <c r="N117" i="4"/>
  <c r="M117" i="4"/>
  <c r="L117" i="4"/>
  <c r="K117" i="4"/>
  <c r="N116" i="4"/>
  <c r="M116" i="4"/>
  <c r="L116" i="4"/>
  <c r="K116" i="4"/>
  <c r="N115" i="4"/>
  <c r="M115" i="4"/>
  <c r="L115" i="4"/>
  <c r="K115" i="4"/>
  <c r="N114" i="4"/>
  <c r="M114" i="4"/>
  <c r="L114" i="4"/>
  <c r="K114" i="4"/>
  <c r="N113" i="4"/>
  <c r="M113" i="4"/>
  <c r="L113" i="4"/>
  <c r="K113" i="4"/>
  <c r="N112" i="4"/>
  <c r="M112" i="4"/>
  <c r="L112" i="4"/>
  <c r="K112" i="4"/>
  <c r="N111" i="4"/>
  <c r="M111" i="4"/>
  <c r="L111" i="4"/>
  <c r="K111" i="4"/>
  <c r="N110" i="4"/>
  <c r="M110" i="4"/>
  <c r="L110" i="4"/>
  <c r="K110" i="4"/>
  <c r="N109" i="4"/>
  <c r="M109" i="4"/>
  <c r="L109" i="4"/>
  <c r="K109" i="4"/>
  <c r="N108" i="4"/>
  <c r="M108" i="4"/>
  <c r="L108" i="4"/>
  <c r="K108" i="4"/>
  <c r="N107" i="4"/>
  <c r="M107" i="4"/>
  <c r="L107" i="4"/>
  <c r="K107" i="4"/>
  <c r="N106" i="4"/>
  <c r="M106" i="4"/>
  <c r="L106" i="4"/>
  <c r="N105" i="4"/>
  <c r="M105" i="4"/>
  <c r="N104" i="4"/>
  <c r="M104" i="4"/>
  <c r="L104" i="4"/>
  <c r="N103" i="4"/>
  <c r="M103" i="4"/>
  <c r="L103" i="4"/>
  <c r="N102" i="4"/>
  <c r="M102" i="4"/>
  <c r="L102" i="4"/>
  <c r="N101" i="4"/>
  <c r="M101" i="4"/>
  <c r="L101" i="4"/>
  <c r="N100" i="4"/>
  <c r="M100" i="4"/>
  <c r="L100" i="4"/>
  <c r="N99" i="4"/>
  <c r="M99" i="4"/>
  <c r="L99" i="4"/>
  <c r="N98" i="4"/>
  <c r="M98" i="4"/>
  <c r="L98" i="4"/>
  <c r="N97" i="4"/>
  <c r="M97" i="4"/>
  <c r="L97" i="4"/>
  <c r="K97" i="4"/>
  <c r="M96" i="4"/>
  <c r="L96" i="4"/>
  <c r="K96" i="4"/>
  <c r="M95" i="4"/>
  <c r="L95" i="4"/>
  <c r="K95" i="4"/>
  <c r="M94" i="4"/>
  <c r="L94" i="4"/>
  <c r="K94" i="4"/>
  <c r="M93" i="4"/>
  <c r="L93" i="4"/>
  <c r="K93" i="4"/>
  <c r="M92" i="4"/>
  <c r="L92" i="4"/>
  <c r="K92" i="4"/>
  <c r="M91" i="4"/>
  <c r="L91" i="4"/>
  <c r="K91" i="4"/>
  <c r="M90" i="4"/>
  <c r="L90" i="4"/>
  <c r="K90" i="4"/>
  <c r="M89" i="4"/>
  <c r="L89" i="4"/>
  <c r="K89" i="4"/>
  <c r="M88" i="4"/>
  <c r="L88" i="4"/>
  <c r="K88" i="4"/>
  <c r="M87" i="4"/>
  <c r="L87" i="4"/>
  <c r="K87" i="4"/>
  <c r="M86" i="4"/>
  <c r="L86" i="4"/>
  <c r="K86" i="4"/>
  <c r="M85" i="4"/>
  <c r="L85" i="4"/>
  <c r="K85" i="4"/>
  <c r="M84" i="4"/>
  <c r="L84" i="4"/>
  <c r="K84" i="4"/>
  <c r="M83" i="4"/>
  <c r="L83" i="4"/>
  <c r="K83" i="4"/>
  <c r="M82" i="4"/>
  <c r="L82" i="4"/>
  <c r="K82" i="4"/>
  <c r="M81" i="4"/>
  <c r="L81" i="4"/>
  <c r="K81" i="4"/>
  <c r="M80" i="4"/>
  <c r="L80" i="4"/>
  <c r="K80" i="4"/>
  <c r="M79" i="4"/>
  <c r="L79" i="4"/>
  <c r="K79" i="4"/>
  <c r="M78" i="4"/>
  <c r="L78" i="4"/>
  <c r="K78" i="4"/>
  <c r="M77" i="4"/>
  <c r="L77" i="4"/>
  <c r="K77" i="4"/>
  <c r="M76" i="4"/>
  <c r="L76" i="4"/>
  <c r="K76" i="4"/>
  <c r="M75" i="4"/>
  <c r="L75" i="4"/>
  <c r="K75" i="4"/>
  <c r="M74" i="4"/>
  <c r="L74" i="4"/>
  <c r="K74" i="4"/>
  <c r="M73" i="4"/>
  <c r="L73" i="4"/>
  <c r="K73" i="4"/>
  <c r="M72" i="4"/>
  <c r="L72" i="4"/>
  <c r="K72" i="4"/>
  <c r="M71" i="4"/>
  <c r="L71" i="4"/>
  <c r="K71" i="4"/>
  <c r="M70" i="4"/>
  <c r="L70" i="4"/>
  <c r="K70" i="4"/>
  <c r="M69" i="4"/>
  <c r="L69" i="4"/>
  <c r="K69" i="4"/>
  <c r="M68" i="4"/>
  <c r="L68" i="4"/>
  <c r="K68" i="4"/>
  <c r="L67" i="4"/>
  <c r="K67" i="4"/>
  <c r="L66" i="4"/>
  <c r="K66" i="4"/>
  <c r="M65" i="4"/>
  <c r="L65" i="4"/>
  <c r="K65" i="4"/>
  <c r="M64" i="4"/>
  <c r="L64" i="4"/>
  <c r="K64" i="4"/>
  <c r="L63" i="4"/>
  <c r="K63" i="4"/>
  <c r="M62" i="4"/>
  <c r="L62" i="4"/>
  <c r="K62" i="4"/>
  <c r="M61" i="4"/>
  <c r="L61" i="4"/>
  <c r="K61" i="4"/>
  <c r="M60" i="4"/>
  <c r="L60" i="4"/>
  <c r="K60" i="4"/>
  <c r="M59" i="4"/>
  <c r="L59" i="4"/>
  <c r="K59" i="4"/>
  <c r="L58" i="4"/>
  <c r="K58" i="4"/>
  <c r="M57" i="4"/>
  <c r="L57" i="4"/>
  <c r="K57" i="4"/>
  <c r="M56" i="4"/>
  <c r="L56" i="4"/>
  <c r="K56" i="4"/>
  <c r="M55" i="4"/>
  <c r="L55" i="4"/>
  <c r="K55" i="4"/>
  <c r="M54" i="4"/>
  <c r="L54" i="4"/>
  <c r="K54" i="4"/>
  <c r="M53" i="4"/>
  <c r="L53" i="4"/>
  <c r="K53" i="4"/>
  <c r="M52" i="4"/>
  <c r="L52" i="4"/>
  <c r="K52" i="4"/>
  <c r="M51" i="4"/>
  <c r="L51" i="4"/>
  <c r="K51" i="4"/>
  <c r="M50" i="4"/>
  <c r="L50" i="4"/>
  <c r="K50" i="4"/>
  <c r="M49" i="4"/>
  <c r="L49" i="4"/>
  <c r="K49" i="4"/>
  <c r="M48" i="4"/>
  <c r="L48" i="4"/>
  <c r="K48" i="4"/>
  <c r="M47" i="4"/>
  <c r="L47" i="4"/>
  <c r="K47" i="4"/>
  <c r="M46" i="4"/>
  <c r="L46" i="4"/>
  <c r="K46" i="4"/>
  <c r="M45" i="4"/>
  <c r="L45" i="4"/>
  <c r="K45" i="4"/>
  <c r="M44" i="4"/>
  <c r="L44" i="4"/>
  <c r="K44" i="4"/>
  <c r="M43" i="4"/>
  <c r="L43" i="4"/>
  <c r="K43" i="4"/>
  <c r="M42" i="4"/>
  <c r="L42" i="4"/>
  <c r="K42" i="4"/>
  <c r="M41" i="4"/>
  <c r="L41" i="4"/>
  <c r="K41" i="4"/>
  <c r="M40" i="4"/>
  <c r="L40" i="4"/>
  <c r="K40" i="4"/>
  <c r="M39" i="4"/>
  <c r="L39" i="4"/>
  <c r="K39" i="4"/>
  <c r="N38" i="4"/>
  <c r="N37" i="4"/>
  <c r="N36" i="4"/>
  <c r="N35" i="4"/>
  <c r="N34" i="4"/>
  <c r="N33" i="4"/>
  <c r="K33" i="4"/>
  <c r="N32" i="4"/>
  <c r="N31" i="4"/>
  <c r="N30" i="4"/>
  <c r="N29" i="4"/>
  <c r="N28" i="4"/>
  <c r="N27" i="4"/>
  <c r="N26" i="4"/>
  <c r="N25" i="4"/>
  <c r="N24" i="4"/>
  <c r="N22" i="4"/>
  <c r="N21" i="4"/>
  <c r="K21" i="4"/>
  <c r="N20" i="4"/>
  <c r="N19" i="4"/>
  <c r="K19" i="4"/>
  <c r="N18" i="4"/>
  <c r="N17" i="4"/>
  <c r="N15" i="4"/>
  <c r="N14" i="4"/>
  <c r="N13" i="4"/>
  <c r="N12" i="4"/>
  <c r="K12" i="4"/>
  <c r="N11" i="4"/>
  <c r="N10" i="4"/>
  <c r="N9" i="4"/>
  <c r="K9" i="4"/>
  <c r="N8" i="4"/>
  <c r="N7" i="4"/>
  <c r="N6" i="4"/>
  <c r="N5" i="4"/>
  <c r="M5" i="4"/>
  <c r="L5" i="4"/>
  <c r="K5" i="4"/>
  <c r="AZ468" i="1"/>
  <c r="AP468" i="1"/>
  <c r="AF468" i="1"/>
  <c r="V468" i="1"/>
  <c r="M468" i="1"/>
  <c r="AZ467" i="1"/>
  <c r="AP467" i="1"/>
  <c r="AF467" i="1"/>
  <c r="V467" i="1"/>
  <c r="M467" i="1"/>
  <c r="AZ466" i="1"/>
  <c r="AP466" i="1"/>
  <c r="AF466" i="1"/>
  <c r="V466" i="1"/>
  <c r="M466" i="1"/>
  <c r="AZ465" i="1"/>
  <c r="AP465" i="1"/>
  <c r="AF465" i="1"/>
  <c r="V465" i="1"/>
  <c r="M465" i="1"/>
  <c r="AZ464" i="1"/>
  <c r="AP464" i="1"/>
  <c r="AF464" i="1"/>
  <c r="V464" i="1"/>
  <c r="M464" i="1"/>
  <c r="AZ463" i="1"/>
  <c r="AP463" i="1"/>
  <c r="AF463" i="1"/>
  <c r="V463" i="1"/>
  <c r="M463" i="1"/>
  <c r="AZ462" i="1"/>
  <c r="AP462" i="1"/>
  <c r="AF462" i="1"/>
  <c r="M462" i="1"/>
  <c r="AZ461" i="1"/>
  <c r="AP461" i="1"/>
  <c r="AF461" i="1"/>
  <c r="V461" i="1"/>
  <c r="M461" i="1"/>
  <c r="AZ460" i="1"/>
  <c r="AP460" i="1"/>
  <c r="AF460" i="1"/>
  <c r="V460" i="1"/>
  <c r="M460" i="1"/>
  <c r="AZ459" i="1"/>
  <c r="AP459" i="1"/>
  <c r="AF459" i="1"/>
  <c r="V459" i="1"/>
  <c r="M459" i="1"/>
  <c r="AZ458" i="1"/>
  <c r="AP458" i="1"/>
  <c r="AF458" i="1"/>
  <c r="V458" i="1"/>
  <c r="M458" i="1"/>
  <c r="AZ457" i="1"/>
  <c r="AP457" i="1"/>
  <c r="AF457" i="1"/>
  <c r="V457" i="1"/>
  <c r="M457" i="1"/>
  <c r="AZ456" i="1"/>
  <c r="AP456" i="1"/>
  <c r="AF456" i="1"/>
  <c r="V456" i="1"/>
  <c r="M456" i="1"/>
  <c r="AZ455" i="1"/>
  <c r="AP455" i="1"/>
  <c r="AF455" i="1"/>
  <c r="V455" i="1"/>
  <c r="M455" i="1"/>
  <c r="K455" i="1"/>
  <c r="AZ454" i="1"/>
  <c r="AP454" i="1"/>
  <c r="AF454" i="1"/>
  <c r="V454" i="1"/>
  <c r="M454" i="1"/>
  <c r="K454" i="1"/>
  <c r="AZ443" i="1"/>
  <c r="AZ442" i="1"/>
  <c r="AZ441" i="1"/>
  <c r="AZ440" i="1"/>
  <c r="AZ439" i="1"/>
  <c r="AZ437" i="1"/>
  <c r="AZ435" i="1"/>
  <c r="AZ427" i="1"/>
  <c r="AP427" i="1"/>
  <c r="AF427" i="1"/>
  <c r="AA427" i="1"/>
  <c r="V427" i="1"/>
  <c r="Q427" i="1"/>
  <c r="M427" i="1"/>
  <c r="L427" i="1"/>
  <c r="K427" i="1"/>
  <c r="AZ426" i="1"/>
  <c r="AP426" i="1"/>
  <c r="AF426" i="1"/>
  <c r="AA426" i="1"/>
  <c r="V426" i="1"/>
  <c r="Q426" i="1"/>
  <c r="M426" i="1"/>
  <c r="L426" i="1"/>
  <c r="K426" i="1"/>
  <c r="AZ425" i="1"/>
  <c r="AP425" i="1"/>
  <c r="AF425" i="1"/>
  <c r="AA425" i="1"/>
  <c r="V425" i="1"/>
  <c r="Q425" i="1"/>
  <c r="M425" i="1"/>
  <c r="L425" i="1"/>
  <c r="K425" i="1"/>
  <c r="AZ424" i="1"/>
  <c r="AP424" i="1"/>
  <c r="AF424" i="1"/>
  <c r="AA424" i="1"/>
  <c r="V424" i="1"/>
  <c r="Q424" i="1"/>
  <c r="M424" i="1"/>
  <c r="L424" i="1"/>
  <c r="K424" i="1"/>
  <c r="AZ423" i="1"/>
  <c r="AP423" i="1"/>
  <c r="AF423" i="1"/>
  <c r="AA423" i="1"/>
  <c r="V423" i="1"/>
  <c r="Q423" i="1"/>
  <c r="M423" i="1"/>
  <c r="L423" i="1"/>
  <c r="K423" i="1"/>
  <c r="AZ422" i="1"/>
  <c r="AP422" i="1"/>
  <c r="AF422" i="1"/>
  <c r="AA422" i="1"/>
  <c r="V422" i="1"/>
  <c r="Q422" i="1"/>
  <c r="M422" i="1"/>
  <c r="L422" i="1"/>
  <c r="K422" i="1"/>
  <c r="AZ421" i="1"/>
  <c r="AP421" i="1"/>
  <c r="AF421" i="1"/>
  <c r="AA421" i="1"/>
  <c r="V421" i="1"/>
  <c r="Q421" i="1"/>
  <c r="M421" i="1"/>
  <c r="L421" i="1"/>
  <c r="K421" i="1"/>
  <c r="AZ420" i="1"/>
  <c r="AP420" i="1"/>
  <c r="AF420" i="1"/>
  <c r="AA420" i="1"/>
  <c r="V420" i="1"/>
  <c r="Q420" i="1"/>
  <c r="M420" i="1"/>
  <c r="L420" i="1"/>
  <c r="K420" i="1"/>
  <c r="AZ419" i="1"/>
  <c r="AP419" i="1"/>
  <c r="AF419" i="1"/>
  <c r="AA419" i="1"/>
  <c r="Q419" i="1"/>
  <c r="M419" i="1"/>
  <c r="L419" i="1"/>
  <c r="K419" i="1"/>
  <c r="AZ418" i="1"/>
  <c r="AP418" i="1"/>
  <c r="AF418" i="1"/>
  <c r="AA418" i="1"/>
  <c r="Q418" i="1"/>
  <c r="M418" i="1"/>
  <c r="L418" i="1"/>
  <c r="K418" i="1"/>
  <c r="AZ417" i="1"/>
  <c r="AP417" i="1"/>
  <c r="AF417" i="1"/>
  <c r="AA417" i="1"/>
  <c r="V417" i="1"/>
  <c r="Q417" i="1"/>
  <c r="M417" i="1"/>
  <c r="L417" i="1"/>
  <c r="K417" i="1"/>
  <c r="AZ416" i="1"/>
  <c r="AP416" i="1"/>
  <c r="AF416" i="1"/>
  <c r="AA416" i="1"/>
  <c r="V416" i="1"/>
  <c r="Q416" i="1"/>
  <c r="M416" i="1"/>
  <c r="L416" i="1"/>
  <c r="K416" i="1"/>
  <c r="AZ415" i="1"/>
  <c r="AP415" i="1"/>
  <c r="AF415" i="1"/>
  <c r="AA415" i="1"/>
  <c r="V415" i="1"/>
  <c r="Q415" i="1"/>
  <c r="M415" i="1"/>
  <c r="L415" i="1"/>
  <c r="K415" i="1"/>
  <c r="AZ414" i="1"/>
  <c r="AP414" i="1"/>
  <c r="AF414" i="1"/>
  <c r="AA414" i="1"/>
  <c r="V414" i="1"/>
  <c r="Q414" i="1"/>
  <c r="M414" i="1"/>
  <c r="L414" i="1"/>
  <c r="K414" i="1"/>
  <c r="AZ413" i="1"/>
  <c r="AP413" i="1"/>
  <c r="AF413" i="1"/>
  <c r="AA413" i="1"/>
  <c r="V413" i="1"/>
  <c r="Q413" i="1"/>
  <c r="M413" i="1"/>
  <c r="L413" i="1"/>
  <c r="K413" i="1"/>
  <c r="AZ412" i="1"/>
  <c r="AP412" i="1"/>
  <c r="AF412" i="1"/>
  <c r="AA412" i="1"/>
  <c r="V412" i="1"/>
  <c r="Q412" i="1"/>
  <c r="M412" i="1"/>
  <c r="L412" i="1"/>
  <c r="K412" i="1"/>
  <c r="AZ411" i="1"/>
  <c r="AP411" i="1"/>
  <c r="AF411" i="1"/>
  <c r="AA411" i="1"/>
  <c r="V411" i="1"/>
  <c r="Q411" i="1"/>
  <c r="M411" i="1"/>
  <c r="L411" i="1"/>
  <c r="K411" i="1"/>
  <c r="AZ410" i="1"/>
  <c r="AP410" i="1"/>
  <c r="AF410" i="1"/>
  <c r="AA410" i="1"/>
  <c r="V410" i="1"/>
  <c r="Q410" i="1"/>
  <c r="M410" i="1"/>
  <c r="L410" i="1"/>
  <c r="K410" i="1"/>
  <c r="AZ409" i="1"/>
  <c r="AP409" i="1"/>
  <c r="AF409" i="1"/>
  <c r="AA409" i="1"/>
  <c r="V409" i="1"/>
  <c r="Q409" i="1"/>
  <c r="M409" i="1"/>
  <c r="L409" i="1"/>
  <c r="K409" i="1"/>
  <c r="AZ408" i="1"/>
  <c r="AP408" i="1"/>
  <c r="AF408" i="1"/>
  <c r="AA408" i="1"/>
  <c r="V408" i="1"/>
  <c r="Q408" i="1"/>
  <c r="M408" i="1"/>
  <c r="L408" i="1"/>
  <c r="K408" i="1"/>
  <c r="AZ407" i="1"/>
  <c r="AP407" i="1"/>
  <c r="AF407" i="1"/>
  <c r="AA407" i="1"/>
  <c r="V407" i="1"/>
  <c r="Q407" i="1"/>
  <c r="M407" i="1"/>
  <c r="L407" i="1"/>
  <c r="K407" i="1"/>
  <c r="AZ406" i="1"/>
  <c r="AP406" i="1"/>
  <c r="AF406" i="1"/>
  <c r="AA406" i="1"/>
  <c r="V406" i="1"/>
  <c r="Q406" i="1"/>
  <c r="M406" i="1"/>
  <c r="L406" i="1"/>
  <c r="K406" i="1"/>
  <c r="AZ405" i="1"/>
  <c r="AP405" i="1"/>
  <c r="AF405" i="1"/>
  <c r="AA405" i="1"/>
  <c r="V405" i="1"/>
  <c r="Q405" i="1"/>
  <c r="M405" i="1"/>
  <c r="L405" i="1"/>
  <c r="K405" i="1"/>
  <c r="AZ404" i="1"/>
  <c r="AP404" i="1"/>
  <c r="AF404" i="1"/>
  <c r="AA404" i="1"/>
  <c r="V404" i="1"/>
  <c r="Q404" i="1"/>
  <c r="M404" i="1"/>
  <c r="L404" i="1"/>
  <c r="K404" i="1"/>
  <c r="AZ403" i="1"/>
  <c r="AP403" i="1"/>
  <c r="AF403" i="1"/>
  <c r="AA403" i="1"/>
  <c r="V403" i="1"/>
  <c r="Q403" i="1"/>
  <c r="M403" i="1"/>
  <c r="L403" i="1"/>
  <c r="K403" i="1"/>
  <c r="AZ402" i="1"/>
  <c r="AP402" i="1"/>
  <c r="AF402" i="1"/>
  <c r="AA402" i="1"/>
  <c r="V402" i="1"/>
  <c r="Q402" i="1"/>
  <c r="M402" i="1"/>
  <c r="L402" i="1"/>
  <c r="K402" i="1"/>
  <c r="AZ401" i="1"/>
  <c r="AP401" i="1"/>
  <c r="AF401" i="1"/>
  <c r="AA401" i="1"/>
  <c r="V401" i="1"/>
  <c r="Q401" i="1"/>
  <c r="M401" i="1"/>
  <c r="L401" i="1"/>
  <c r="K401" i="1"/>
  <c r="AZ400" i="1"/>
  <c r="AP400" i="1"/>
  <c r="AF400" i="1"/>
  <c r="AA400" i="1"/>
  <c r="V400" i="1"/>
  <c r="Q400" i="1"/>
  <c r="M400" i="1"/>
  <c r="L400" i="1"/>
  <c r="K400" i="1"/>
  <c r="AP399" i="1"/>
  <c r="AF399" i="1"/>
  <c r="AA399" i="1"/>
  <c r="V399" i="1"/>
  <c r="Q399" i="1"/>
  <c r="M399" i="1"/>
  <c r="L399" i="1"/>
  <c r="K399" i="1"/>
  <c r="AZ398" i="1"/>
  <c r="AP398" i="1"/>
  <c r="AF398" i="1"/>
  <c r="AA398" i="1"/>
  <c r="V398" i="1"/>
  <c r="Q398" i="1"/>
  <c r="M398" i="1"/>
  <c r="L398" i="1"/>
  <c r="K398" i="1"/>
  <c r="AZ397" i="1"/>
  <c r="AP397" i="1"/>
  <c r="AF397" i="1"/>
  <c r="AA397" i="1"/>
  <c r="V397" i="1"/>
  <c r="Q397" i="1"/>
  <c r="M397" i="1"/>
  <c r="L397" i="1"/>
  <c r="K397" i="1"/>
  <c r="AZ396" i="1"/>
  <c r="AP396" i="1"/>
  <c r="AF396" i="1"/>
  <c r="AA396" i="1"/>
  <c r="V396" i="1"/>
  <c r="Q396" i="1"/>
  <c r="M396" i="1"/>
  <c r="L396" i="1"/>
  <c r="K396" i="1"/>
  <c r="AZ395" i="1"/>
  <c r="AP395" i="1"/>
  <c r="AA395" i="1"/>
  <c r="V395" i="1"/>
  <c r="Q395" i="1"/>
  <c r="M395" i="1"/>
  <c r="L395" i="1"/>
  <c r="K395" i="1"/>
  <c r="AZ394" i="1"/>
  <c r="AP394" i="1"/>
  <c r="AA394" i="1"/>
  <c r="V394" i="1"/>
  <c r="M394" i="1"/>
  <c r="L394" i="1"/>
  <c r="K394" i="1"/>
  <c r="AZ393" i="1"/>
  <c r="AP393" i="1"/>
  <c r="AF393" i="1"/>
  <c r="AA393" i="1"/>
  <c r="V393" i="1"/>
  <c r="Q393" i="1"/>
  <c r="M393" i="1"/>
  <c r="L393" i="1"/>
  <c r="K393" i="1"/>
  <c r="AZ392" i="1"/>
  <c r="AP392" i="1"/>
  <c r="AF392" i="1"/>
  <c r="AA392" i="1"/>
  <c r="V392" i="1"/>
  <c r="Q392" i="1"/>
  <c r="M392" i="1"/>
  <c r="L392" i="1"/>
  <c r="K392" i="1"/>
  <c r="AZ391" i="1"/>
  <c r="AP391" i="1"/>
  <c r="AF391" i="1"/>
  <c r="AA391" i="1"/>
  <c r="V391" i="1"/>
  <c r="Q391" i="1"/>
  <c r="M391" i="1"/>
  <c r="L391" i="1"/>
  <c r="K391" i="1"/>
  <c r="AZ390" i="1"/>
  <c r="AP390" i="1"/>
  <c r="AF390" i="1"/>
  <c r="AA390" i="1"/>
  <c r="V390" i="1"/>
  <c r="Q390" i="1"/>
  <c r="M390" i="1"/>
  <c r="L390" i="1"/>
  <c r="K390" i="1"/>
  <c r="AZ389" i="1"/>
  <c r="AP389" i="1"/>
  <c r="AF389" i="1"/>
  <c r="AA389" i="1"/>
  <c r="V389" i="1"/>
  <c r="Q389" i="1"/>
  <c r="M389" i="1"/>
  <c r="L389" i="1"/>
  <c r="K389" i="1"/>
  <c r="AZ388" i="1"/>
  <c r="AP388" i="1"/>
  <c r="AF388" i="1"/>
  <c r="AA388" i="1"/>
  <c r="V388" i="1"/>
  <c r="Q388" i="1"/>
  <c r="M388" i="1"/>
  <c r="L388" i="1"/>
  <c r="K388" i="1"/>
  <c r="AZ387" i="1"/>
  <c r="AP387" i="1"/>
  <c r="AF387" i="1"/>
  <c r="AA387" i="1"/>
  <c r="V387" i="1"/>
  <c r="Q387" i="1"/>
  <c r="M387" i="1"/>
  <c r="L387" i="1"/>
  <c r="K387" i="1"/>
  <c r="AZ386" i="1"/>
  <c r="AP386" i="1"/>
  <c r="AF386" i="1"/>
  <c r="AA386" i="1"/>
  <c r="V386" i="1"/>
  <c r="Q386" i="1"/>
  <c r="M386" i="1"/>
  <c r="L386" i="1"/>
  <c r="K386" i="1"/>
  <c r="AZ385" i="1"/>
  <c r="AP385" i="1"/>
  <c r="AF385" i="1"/>
  <c r="AA385" i="1"/>
  <c r="V385" i="1"/>
  <c r="Q385" i="1"/>
  <c r="M385" i="1"/>
  <c r="L385" i="1"/>
  <c r="K385" i="1"/>
  <c r="AZ384" i="1"/>
  <c r="AP384" i="1"/>
  <c r="AF384" i="1"/>
  <c r="AA384" i="1"/>
  <c r="V384" i="1"/>
  <c r="Q384" i="1"/>
  <c r="M384" i="1"/>
  <c r="L384" i="1"/>
  <c r="K384" i="1"/>
  <c r="AZ383" i="1"/>
  <c r="AP383" i="1"/>
  <c r="AF383" i="1"/>
  <c r="V383" i="1"/>
  <c r="Q383" i="1"/>
  <c r="M383" i="1"/>
  <c r="L383" i="1"/>
  <c r="K383" i="1"/>
  <c r="AZ382" i="1"/>
  <c r="AP382" i="1"/>
  <c r="M382" i="1"/>
  <c r="L382" i="1"/>
  <c r="K382" i="1"/>
  <c r="AZ381" i="1"/>
  <c r="AP381" i="1"/>
  <c r="AF381" i="1"/>
  <c r="AA381" i="1"/>
  <c r="V381" i="1"/>
  <c r="Q381" i="1"/>
  <c r="M381" i="1"/>
  <c r="L381" i="1"/>
  <c r="K381" i="1"/>
  <c r="AZ380" i="1"/>
  <c r="AP380" i="1"/>
  <c r="AF380" i="1"/>
  <c r="AA380" i="1"/>
  <c r="V380" i="1"/>
  <c r="Q380" i="1"/>
  <c r="M380" i="1"/>
  <c r="L380" i="1"/>
  <c r="K380" i="1"/>
  <c r="AZ379" i="1"/>
  <c r="AP379" i="1"/>
  <c r="AF379" i="1"/>
  <c r="AA379" i="1"/>
  <c r="V379" i="1"/>
  <c r="Q379" i="1"/>
  <c r="M379" i="1"/>
  <c r="L379" i="1"/>
  <c r="K379" i="1"/>
  <c r="AZ378" i="1"/>
  <c r="AP378" i="1"/>
  <c r="AF378" i="1"/>
  <c r="AA378" i="1"/>
  <c r="V378" i="1"/>
  <c r="Q378" i="1"/>
  <c r="M378" i="1"/>
  <c r="L378" i="1"/>
  <c r="K378" i="1"/>
  <c r="AZ377" i="1"/>
  <c r="AP377" i="1"/>
  <c r="AF377" i="1"/>
  <c r="AA377" i="1"/>
  <c r="V377" i="1"/>
  <c r="M377" i="1"/>
  <c r="L377" i="1"/>
  <c r="K377" i="1"/>
  <c r="AZ376" i="1"/>
  <c r="AP376" i="1"/>
  <c r="AF376" i="1"/>
  <c r="AA376" i="1"/>
  <c r="V376" i="1"/>
  <c r="M376" i="1"/>
  <c r="L376" i="1"/>
  <c r="K376" i="1"/>
  <c r="AZ375" i="1"/>
  <c r="AP375" i="1"/>
  <c r="AF375" i="1"/>
  <c r="AA375" i="1"/>
  <c r="V375" i="1"/>
  <c r="Q375" i="1"/>
  <c r="M375" i="1"/>
  <c r="L375" i="1"/>
  <c r="K375" i="1"/>
  <c r="AZ374" i="1"/>
  <c r="AP374" i="1"/>
  <c r="AF374" i="1"/>
  <c r="AA374" i="1"/>
  <c r="V374" i="1"/>
  <c r="Q374" i="1"/>
  <c r="M374" i="1"/>
  <c r="L374" i="1"/>
  <c r="K374" i="1"/>
  <c r="AZ373" i="1"/>
  <c r="AP373" i="1"/>
  <c r="AF373" i="1"/>
  <c r="AA373" i="1"/>
  <c r="V373" i="1"/>
  <c r="Q373" i="1"/>
  <c r="M373" i="1"/>
  <c r="L373" i="1"/>
  <c r="K373" i="1"/>
  <c r="AZ372" i="1"/>
  <c r="AF372" i="1"/>
  <c r="AA372" i="1"/>
  <c r="Q372" i="1"/>
  <c r="M372" i="1"/>
  <c r="L372" i="1"/>
  <c r="K372" i="1"/>
  <c r="AZ371" i="1"/>
  <c r="AP371" i="1"/>
  <c r="AF371" i="1"/>
  <c r="AA371" i="1"/>
  <c r="V371" i="1"/>
  <c r="Q371" i="1"/>
  <c r="M371" i="1"/>
  <c r="L371" i="1"/>
  <c r="K371" i="1"/>
  <c r="AZ370" i="1"/>
  <c r="AP370" i="1"/>
  <c r="AF370" i="1"/>
  <c r="AA370" i="1"/>
  <c r="V370" i="1"/>
  <c r="Q370" i="1"/>
  <c r="M370" i="1"/>
  <c r="L370" i="1"/>
  <c r="K370" i="1"/>
  <c r="AZ369" i="1"/>
  <c r="AP369" i="1"/>
  <c r="AF369" i="1"/>
  <c r="AA369" i="1"/>
  <c r="V369" i="1"/>
  <c r="Q369" i="1"/>
  <c r="M369" i="1"/>
  <c r="L369" i="1"/>
  <c r="K369" i="1"/>
  <c r="AZ368" i="1"/>
  <c r="AP368" i="1"/>
  <c r="AF368" i="1"/>
  <c r="AA368" i="1"/>
  <c r="V368" i="1"/>
  <c r="Q368" i="1"/>
  <c r="M368" i="1"/>
  <c r="L368" i="1"/>
  <c r="K368" i="1"/>
  <c r="AZ367" i="1"/>
  <c r="AF367" i="1"/>
  <c r="AA367" i="1"/>
  <c r="V367" i="1"/>
  <c r="Q367" i="1"/>
  <c r="M367" i="1"/>
  <c r="L367" i="1"/>
  <c r="K367" i="1"/>
  <c r="AZ366" i="1"/>
  <c r="AP366" i="1"/>
  <c r="AF366" i="1"/>
  <c r="AA366" i="1"/>
  <c r="V366" i="1"/>
  <c r="Q366" i="1"/>
  <c r="M366" i="1"/>
  <c r="L366" i="1"/>
  <c r="K366" i="1"/>
  <c r="AZ365" i="1"/>
  <c r="AP365" i="1"/>
  <c r="AF365" i="1"/>
  <c r="AA365" i="1"/>
  <c r="V365" i="1"/>
  <c r="Q365" i="1"/>
  <c r="M365" i="1"/>
  <c r="L365" i="1"/>
  <c r="K365" i="1"/>
  <c r="AZ364" i="1"/>
  <c r="AP364" i="1"/>
  <c r="AF364" i="1"/>
  <c r="AA364" i="1"/>
  <c r="V364" i="1"/>
  <c r="Q364" i="1"/>
  <c r="M364" i="1"/>
  <c r="L364" i="1"/>
  <c r="K364" i="1"/>
  <c r="AZ363" i="1"/>
  <c r="AP363" i="1"/>
  <c r="AF363" i="1"/>
  <c r="AA363" i="1"/>
  <c r="V363" i="1"/>
  <c r="Q363" i="1"/>
  <c r="M363" i="1"/>
  <c r="L363" i="1"/>
  <c r="K363" i="1"/>
  <c r="AZ362" i="1"/>
  <c r="AP362" i="1"/>
  <c r="AF362" i="1"/>
  <c r="AA362" i="1"/>
  <c r="V362" i="1"/>
  <c r="Q362" i="1"/>
  <c r="M362" i="1"/>
  <c r="L362" i="1"/>
  <c r="K362" i="1"/>
  <c r="AZ361" i="1"/>
  <c r="AP361" i="1"/>
  <c r="AF361" i="1"/>
  <c r="AA361" i="1"/>
  <c r="V361" i="1"/>
  <c r="Q361" i="1"/>
  <c r="M361" i="1"/>
  <c r="L361" i="1"/>
  <c r="K361" i="1"/>
  <c r="AZ360" i="1"/>
  <c r="AP360" i="1"/>
  <c r="AF360" i="1"/>
  <c r="AA360" i="1"/>
  <c r="V360" i="1"/>
  <c r="Q360" i="1"/>
  <c r="M360" i="1"/>
  <c r="L360" i="1"/>
  <c r="K360" i="1"/>
  <c r="AZ359" i="1"/>
  <c r="AP359" i="1"/>
  <c r="AF359" i="1"/>
  <c r="AA359" i="1"/>
  <c r="V359" i="1"/>
  <c r="Q359" i="1"/>
  <c r="M359" i="1"/>
  <c r="L359" i="1"/>
  <c r="K359" i="1"/>
  <c r="AZ358" i="1"/>
  <c r="AP358" i="1"/>
  <c r="AF358" i="1"/>
  <c r="AA358" i="1"/>
  <c r="V358" i="1"/>
  <c r="Q358" i="1"/>
  <c r="M358" i="1"/>
  <c r="L358" i="1"/>
  <c r="K358" i="1"/>
  <c r="AZ357" i="1"/>
  <c r="AP357" i="1"/>
  <c r="AF357" i="1"/>
  <c r="AA357" i="1"/>
  <c r="V357" i="1"/>
  <c r="Q357" i="1"/>
  <c r="M357" i="1"/>
  <c r="L357" i="1"/>
  <c r="K357" i="1"/>
  <c r="AZ356" i="1"/>
  <c r="AP356" i="1"/>
  <c r="AF356" i="1"/>
  <c r="AA356" i="1"/>
  <c r="V356" i="1"/>
  <c r="Q356" i="1"/>
  <c r="M356" i="1"/>
  <c r="L356" i="1"/>
  <c r="K356" i="1"/>
  <c r="AZ355" i="1"/>
  <c r="AP355" i="1"/>
  <c r="AF355" i="1"/>
  <c r="AA355" i="1"/>
  <c r="V355" i="1"/>
  <c r="Q355" i="1"/>
  <c r="M355" i="1"/>
  <c r="L355" i="1"/>
  <c r="K355" i="1"/>
  <c r="AZ354" i="1"/>
  <c r="AP354" i="1"/>
  <c r="AF354" i="1"/>
  <c r="AA354" i="1"/>
  <c r="V354" i="1"/>
  <c r="Q354" i="1"/>
  <c r="M354" i="1"/>
  <c r="L354" i="1"/>
  <c r="K354" i="1"/>
  <c r="AZ353" i="1"/>
  <c r="AP353" i="1"/>
  <c r="AF353" i="1"/>
  <c r="AA353" i="1"/>
  <c r="V353" i="1"/>
  <c r="Q353" i="1"/>
  <c r="M353" i="1"/>
  <c r="L353" i="1"/>
  <c r="K353" i="1"/>
  <c r="AZ352" i="1"/>
  <c r="AP352" i="1"/>
  <c r="AF352" i="1"/>
  <c r="AA352" i="1"/>
  <c r="V352" i="1"/>
  <c r="Q352" i="1"/>
  <c r="M352" i="1"/>
  <c r="L352" i="1"/>
  <c r="K352" i="1"/>
  <c r="AZ351" i="1"/>
  <c r="AP351" i="1"/>
  <c r="AF351" i="1"/>
  <c r="AA351" i="1"/>
  <c r="V351" i="1"/>
  <c r="Q351" i="1"/>
  <c r="M351" i="1"/>
  <c r="L351" i="1"/>
  <c r="K351" i="1"/>
  <c r="AZ350" i="1"/>
  <c r="AP350" i="1"/>
  <c r="AF350" i="1"/>
  <c r="AA350" i="1"/>
  <c r="V350" i="1"/>
  <c r="Q350" i="1"/>
  <c r="M350" i="1"/>
  <c r="L350" i="1"/>
  <c r="K350" i="1"/>
  <c r="AZ349" i="1"/>
  <c r="AP349" i="1"/>
  <c r="AF349" i="1"/>
  <c r="AA349" i="1"/>
  <c r="V349" i="1"/>
  <c r="Q349" i="1"/>
  <c r="M349" i="1"/>
  <c r="L349" i="1"/>
  <c r="K349" i="1"/>
  <c r="AZ348" i="1"/>
  <c r="AP348" i="1"/>
  <c r="AF348" i="1"/>
  <c r="AA348" i="1"/>
  <c r="V348" i="1"/>
  <c r="Q348" i="1"/>
  <c r="M348" i="1"/>
  <c r="L348" i="1"/>
  <c r="K348" i="1"/>
  <c r="AZ347" i="1"/>
  <c r="AP347" i="1"/>
  <c r="AF347" i="1"/>
  <c r="AA347" i="1"/>
  <c r="V347" i="1"/>
  <c r="Q347" i="1"/>
  <c r="M347" i="1"/>
  <c r="L347" i="1"/>
  <c r="K347" i="1"/>
  <c r="AZ346" i="1"/>
  <c r="AP346" i="1"/>
  <c r="AF346" i="1"/>
  <c r="AA346" i="1"/>
  <c r="V346" i="1"/>
  <c r="Q346" i="1"/>
  <c r="M346" i="1"/>
  <c r="L346" i="1"/>
  <c r="K346" i="1"/>
  <c r="AZ345" i="1"/>
  <c r="AP345" i="1"/>
  <c r="AF345" i="1"/>
  <c r="AA345" i="1"/>
  <c r="V345" i="1"/>
  <c r="Q345" i="1"/>
  <c r="M345" i="1"/>
  <c r="L345" i="1"/>
  <c r="K345" i="1"/>
  <c r="AZ344" i="1"/>
  <c r="AP344" i="1"/>
  <c r="AF344" i="1"/>
  <c r="AA344" i="1"/>
  <c r="V344" i="1"/>
  <c r="Q344" i="1"/>
  <c r="M344" i="1"/>
  <c r="L344" i="1"/>
  <c r="K344" i="1"/>
  <c r="AZ343" i="1"/>
  <c r="AP343" i="1"/>
  <c r="AF343" i="1"/>
  <c r="AA343" i="1"/>
  <c r="V343" i="1"/>
  <c r="Q343" i="1"/>
  <c r="M343" i="1"/>
  <c r="L343" i="1"/>
  <c r="K343" i="1"/>
  <c r="AZ342" i="1"/>
  <c r="AP342" i="1"/>
  <c r="AF342" i="1"/>
  <c r="AA342" i="1"/>
  <c r="V342" i="1"/>
  <c r="Q342" i="1"/>
  <c r="M342" i="1"/>
  <c r="L342" i="1"/>
  <c r="K342" i="1"/>
  <c r="AZ341" i="1"/>
  <c r="AP341" i="1"/>
  <c r="AF341" i="1"/>
  <c r="AA341" i="1"/>
  <c r="V341" i="1"/>
  <c r="Q341" i="1"/>
  <c r="M341" i="1"/>
  <c r="L341" i="1"/>
  <c r="K341" i="1"/>
  <c r="AZ340" i="1"/>
  <c r="AP340" i="1"/>
  <c r="AF340" i="1"/>
  <c r="AA340" i="1"/>
  <c r="V340" i="1"/>
  <c r="Q340" i="1"/>
  <c r="M340" i="1"/>
  <c r="L340" i="1"/>
  <c r="K340" i="1"/>
  <c r="AZ339" i="1"/>
  <c r="AP339" i="1"/>
  <c r="AF339" i="1"/>
  <c r="AA339" i="1"/>
  <c r="V339" i="1"/>
  <c r="Q339" i="1"/>
  <c r="M339" i="1"/>
  <c r="L339" i="1"/>
  <c r="K339" i="1"/>
  <c r="AZ338" i="1"/>
  <c r="AP338" i="1"/>
  <c r="AF338" i="1"/>
  <c r="AA338" i="1"/>
  <c r="V338" i="1"/>
  <c r="Q338" i="1"/>
  <c r="M338" i="1"/>
  <c r="L338" i="1"/>
  <c r="K338" i="1"/>
  <c r="AZ337" i="1"/>
  <c r="AP337" i="1"/>
  <c r="AF337" i="1"/>
  <c r="AA337" i="1"/>
  <c r="V337" i="1"/>
  <c r="Q337" i="1"/>
  <c r="M337" i="1"/>
  <c r="L337" i="1"/>
  <c r="K337" i="1"/>
  <c r="AZ336" i="1"/>
  <c r="AP336" i="1"/>
  <c r="AF336" i="1"/>
  <c r="AA336" i="1"/>
  <c r="V336" i="1"/>
  <c r="Q336" i="1"/>
  <c r="M336" i="1"/>
  <c r="L336" i="1"/>
  <c r="K336" i="1"/>
  <c r="AZ335" i="1"/>
  <c r="AP335" i="1"/>
  <c r="AF335" i="1"/>
  <c r="AA335" i="1"/>
  <c r="V335" i="1"/>
  <c r="Q335" i="1"/>
  <c r="M335" i="1"/>
  <c r="L335" i="1"/>
  <c r="K335" i="1"/>
  <c r="AZ334" i="1"/>
  <c r="AP334" i="1"/>
  <c r="AF334" i="1"/>
  <c r="AA334" i="1"/>
  <c r="V334" i="1"/>
  <c r="Q334" i="1"/>
  <c r="M334" i="1"/>
  <c r="L334" i="1"/>
  <c r="K334" i="1"/>
  <c r="AZ333" i="1"/>
  <c r="AP333" i="1"/>
  <c r="AF333" i="1"/>
  <c r="AA333" i="1"/>
  <c r="V333" i="1"/>
  <c r="Q333" i="1"/>
  <c r="M333" i="1"/>
  <c r="L333" i="1"/>
  <c r="K333" i="1"/>
  <c r="AZ332" i="1"/>
  <c r="AP332" i="1"/>
  <c r="AF332" i="1"/>
  <c r="AA332" i="1"/>
  <c r="V332" i="1"/>
  <c r="Q332" i="1"/>
  <c r="M332" i="1"/>
  <c r="L332" i="1"/>
  <c r="K332" i="1"/>
  <c r="AZ331" i="1"/>
  <c r="AP331" i="1"/>
  <c r="AF331" i="1"/>
  <c r="AA331" i="1"/>
  <c r="V331" i="1"/>
  <c r="Q331" i="1"/>
  <c r="M331" i="1"/>
  <c r="L331" i="1"/>
  <c r="K331" i="1"/>
  <c r="AZ330" i="1"/>
  <c r="AP330" i="1"/>
  <c r="AF330" i="1"/>
  <c r="AA330" i="1"/>
  <c r="V330" i="1"/>
  <c r="Q330" i="1"/>
  <c r="M330" i="1"/>
  <c r="L330" i="1"/>
  <c r="K330" i="1"/>
  <c r="AZ329" i="1"/>
  <c r="AP329" i="1"/>
  <c r="AF329" i="1"/>
  <c r="AA329" i="1"/>
  <c r="V329" i="1"/>
  <c r="Q329" i="1"/>
  <c r="M329" i="1"/>
  <c r="L329" i="1"/>
  <c r="K329" i="1"/>
  <c r="AZ328" i="1"/>
  <c r="AP328" i="1"/>
  <c r="AF328" i="1"/>
  <c r="AA328" i="1"/>
  <c r="V328" i="1"/>
  <c r="Q328" i="1"/>
  <c r="M328" i="1"/>
  <c r="L328" i="1"/>
  <c r="K328" i="1"/>
  <c r="AZ327" i="1"/>
  <c r="AP327" i="1"/>
  <c r="AF327" i="1"/>
  <c r="AA327" i="1"/>
  <c r="V327" i="1"/>
  <c r="Q327" i="1"/>
  <c r="M327" i="1"/>
  <c r="L327" i="1"/>
  <c r="K327" i="1"/>
  <c r="AZ326" i="1"/>
  <c r="AP326" i="1"/>
  <c r="AF326" i="1"/>
  <c r="AA326" i="1"/>
  <c r="V326" i="1"/>
  <c r="Q326" i="1"/>
  <c r="M326" i="1"/>
  <c r="L326" i="1"/>
  <c r="K326" i="1"/>
  <c r="AZ325" i="1"/>
  <c r="AP325" i="1"/>
  <c r="AF325" i="1"/>
  <c r="AA325" i="1"/>
  <c r="V325" i="1"/>
  <c r="Q325" i="1"/>
  <c r="M325" i="1"/>
  <c r="L325" i="1"/>
  <c r="K325" i="1"/>
  <c r="AZ324" i="1"/>
  <c r="AP324" i="1"/>
  <c r="AF324" i="1"/>
  <c r="AA324" i="1"/>
  <c r="V324" i="1"/>
  <c r="Q324" i="1"/>
  <c r="M324" i="1"/>
  <c r="L324" i="1"/>
  <c r="K324" i="1"/>
  <c r="AZ323" i="1"/>
  <c r="AP323" i="1"/>
  <c r="AF323" i="1"/>
  <c r="AA323" i="1"/>
  <c r="V323" i="1"/>
  <c r="Q323" i="1"/>
  <c r="M323" i="1"/>
  <c r="L323" i="1"/>
  <c r="K323" i="1"/>
  <c r="AZ322" i="1"/>
  <c r="AP322" i="1"/>
  <c r="AF322" i="1"/>
  <c r="AA322" i="1"/>
  <c r="V322" i="1"/>
  <c r="Q322" i="1"/>
  <c r="M322" i="1"/>
  <c r="L322" i="1"/>
  <c r="K322" i="1"/>
  <c r="AZ321" i="1"/>
  <c r="AP321" i="1"/>
  <c r="AF321" i="1"/>
  <c r="AA321" i="1"/>
  <c r="V321" i="1"/>
  <c r="Q321" i="1"/>
  <c r="M321" i="1"/>
  <c r="L321" i="1"/>
  <c r="K321" i="1"/>
  <c r="AZ320" i="1"/>
  <c r="AP320" i="1"/>
  <c r="AF320" i="1"/>
  <c r="AA320" i="1"/>
  <c r="Q320" i="1"/>
  <c r="M320" i="1"/>
  <c r="L320" i="1"/>
  <c r="K320" i="1"/>
  <c r="AZ319" i="1"/>
  <c r="AP319" i="1"/>
  <c r="AF319" i="1"/>
  <c r="V319" i="1"/>
  <c r="Q319" i="1"/>
  <c r="M319" i="1"/>
  <c r="L319" i="1"/>
  <c r="K319" i="1"/>
  <c r="AZ318" i="1"/>
  <c r="AP318" i="1"/>
  <c r="AF318" i="1"/>
  <c r="AA318" i="1"/>
  <c r="V318" i="1"/>
  <c r="Q318" i="1"/>
  <c r="M318" i="1"/>
  <c r="L318" i="1"/>
  <c r="K318" i="1"/>
  <c r="AZ317" i="1"/>
  <c r="AP317" i="1"/>
  <c r="AF317" i="1"/>
  <c r="AA317" i="1"/>
  <c r="V317" i="1"/>
  <c r="Q317" i="1"/>
  <c r="M317" i="1"/>
  <c r="L317" i="1"/>
  <c r="K317" i="1"/>
  <c r="AZ316" i="1"/>
  <c r="AP316" i="1"/>
  <c r="AF316" i="1"/>
  <c r="AA316" i="1"/>
  <c r="V316" i="1"/>
  <c r="Q316" i="1"/>
  <c r="M316" i="1"/>
  <c r="L316" i="1"/>
  <c r="K316" i="1"/>
  <c r="AZ315" i="1"/>
  <c r="AP315" i="1"/>
  <c r="AF315" i="1"/>
  <c r="AA315" i="1"/>
  <c r="V315" i="1"/>
  <c r="Q315" i="1"/>
  <c r="M315" i="1"/>
  <c r="L315" i="1"/>
  <c r="K315" i="1"/>
  <c r="AZ314" i="1"/>
  <c r="AP314" i="1"/>
  <c r="AF314" i="1"/>
  <c r="AA314" i="1"/>
  <c r="V314" i="1"/>
  <c r="Q314" i="1"/>
  <c r="M314" i="1"/>
  <c r="L314" i="1"/>
  <c r="K314" i="1"/>
  <c r="AZ313" i="1"/>
  <c r="AP313" i="1"/>
  <c r="AF313" i="1"/>
  <c r="AA313" i="1"/>
  <c r="V313" i="1"/>
  <c r="Q313" i="1"/>
  <c r="M313" i="1"/>
  <c r="L313" i="1"/>
  <c r="K313" i="1"/>
  <c r="AZ312" i="1"/>
  <c r="AP312" i="1"/>
  <c r="AF312" i="1"/>
  <c r="AA312" i="1"/>
  <c r="V312" i="1"/>
  <c r="Q312" i="1"/>
  <c r="M312" i="1"/>
  <c r="L312" i="1"/>
  <c r="K312" i="1"/>
  <c r="AZ311" i="1"/>
  <c r="AP311" i="1"/>
  <c r="AF311" i="1"/>
  <c r="AA311" i="1"/>
  <c r="V311" i="1"/>
  <c r="Q311" i="1"/>
  <c r="M311" i="1"/>
  <c r="L311" i="1"/>
  <c r="K311" i="1"/>
  <c r="AZ310" i="1"/>
  <c r="AP310" i="1"/>
  <c r="AF310" i="1"/>
  <c r="AA310" i="1"/>
  <c r="V310" i="1"/>
  <c r="Q310" i="1"/>
  <c r="M310" i="1"/>
  <c r="L310" i="1"/>
  <c r="K310" i="1"/>
  <c r="AZ309" i="1"/>
  <c r="AY309" i="1"/>
  <c r="AX309" i="1"/>
  <c r="AW309" i="1"/>
  <c r="AV309" i="1"/>
  <c r="AU309" i="1"/>
  <c r="AT309" i="1"/>
  <c r="AS309" i="1"/>
  <c r="AR309" i="1"/>
  <c r="AQ309" i="1"/>
  <c r="AP309" i="1"/>
  <c r="AO309" i="1"/>
  <c r="AN309" i="1"/>
  <c r="AM309" i="1"/>
  <c r="AL309" i="1"/>
  <c r="AK309" i="1"/>
  <c r="AJ309" i="1"/>
  <c r="AI309" i="1"/>
  <c r="AH309" i="1"/>
  <c r="AG309" i="1"/>
  <c r="AF309" i="1"/>
  <c r="AE309" i="1"/>
  <c r="AD309" i="1"/>
  <c r="AC309" i="1"/>
  <c r="AB309" i="1"/>
  <c r="AA309" i="1"/>
  <c r="Z309" i="1"/>
  <c r="Y309" i="1"/>
  <c r="X309" i="1"/>
  <c r="W309" i="1"/>
  <c r="V309" i="1"/>
  <c r="U309" i="1"/>
  <c r="T309" i="1"/>
  <c r="S309" i="1"/>
  <c r="R309" i="1"/>
  <c r="Q309" i="1"/>
  <c r="P309" i="1"/>
  <c r="O309" i="1"/>
  <c r="N309" i="1"/>
  <c r="M309" i="1"/>
  <c r="L309" i="1"/>
  <c r="K309" i="1"/>
  <c r="AZ308" i="1"/>
  <c r="AY308" i="1"/>
  <c r="AX308" i="1"/>
  <c r="AW308" i="1"/>
  <c r="AV308" i="1"/>
  <c r="AU308" i="1"/>
  <c r="AT308" i="1"/>
  <c r="AS308" i="1"/>
  <c r="AR308" i="1"/>
  <c r="AQ308" i="1"/>
  <c r="AP308" i="1"/>
  <c r="AO308" i="1"/>
  <c r="AN308" i="1"/>
  <c r="AM308" i="1"/>
  <c r="AL308" i="1"/>
  <c r="AK308" i="1"/>
  <c r="AJ308" i="1"/>
  <c r="AI308" i="1"/>
  <c r="AH308" i="1"/>
  <c r="AG308" i="1"/>
  <c r="AF308" i="1"/>
  <c r="AE308" i="1"/>
  <c r="AD308" i="1"/>
  <c r="AC308" i="1"/>
  <c r="AB308" i="1"/>
  <c r="AA308" i="1"/>
  <c r="Z308" i="1"/>
  <c r="Y308" i="1"/>
  <c r="X308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K308" i="1"/>
  <c r="AZ307" i="1"/>
  <c r="AY307" i="1"/>
  <c r="AX307" i="1"/>
  <c r="AW307" i="1"/>
  <c r="AV307" i="1"/>
  <c r="AU307" i="1"/>
  <c r="AT307" i="1"/>
  <c r="AS307" i="1"/>
  <c r="AR307" i="1"/>
  <c r="AQ307" i="1"/>
  <c r="AP307" i="1"/>
  <c r="AO307" i="1"/>
  <c r="AN307" i="1"/>
  <c r="AM307" i="1"/>
  <c r="AL307" i="1"/>
  <c r="AK307" i="1"/>
  <c r="AJ307" i="1"/>
  <c r="AI307" i="1"/>
  <c r="AH307" i="1"/>
  <c r="AG307" i="1"/>
  <c r="AF307" i="1"/>
  <c r="AE307" i="1"/>
  <c r="AD307" i="1"/>
  <c r="AC307" i="1"/>
  <c r="AB307" i="1"/>
  <c r="AA307" i="1"/>
  <c r="Z307" i="1"/>
  <c r="Y307" i="1"/>
  <c r="X307" i="1"/>
  <c r="W307" i="1"/>
  <c r="V307" i="1"/>
  <c r="U307" i="1"/>
  <c r="T307" i="1"/>
  <c r="S307" i="1"/>
  <c r="R307" i="1"/>
  <c r="Q307" i="1"/>
  <c r="P307" i="1"/>
  <c r="O307" i="1"/>
  <c r="N307" i="1"/>
  <c r="M307" i="1"/>
  <c r="L307" i="1"/>
  <c r="K307" i="1"/>
  <c r="AZ306" i="1"/>
  <c r="AY306" i="1"/>
  <c r="AX306" i="1"/>
  <c r="AW306" i="1"/>
  <c r="AV306" i="1"/>
  <c r="AU306" i="1"/>
  <c r="AT306" i="1"/>
  <c r="AS306" i="1"/>
  <c r="AR306" i="1"/>
  <c r="AQ306" i="1"/>
  <c r="AP306" i="1"/>
  <c r="AO306" i="1"/>
  <c r="AN306" i="1"/>
  <c r="AM306" i="1"/>
  <c r="AL306" i="1"/>
  <c r="AK306" i="1"/>
  <c r="AJ306" i="1"/>
  <c r="AI306" i="1"/>
  <c r="AH306" i="1"/>
  <c r="AG306" i="1"/>
  <c r="AF306" i="1"/>
  <c r="AE306" i="1"/>
  <c r="AD306" i="1"/>
  <c r="AC306" i="1"/>
  <c r="AB306" i="1"/>
  <c r="AA306" i="1"/>
  <c r="Z306" i="1"/>
  <c r="Y306" i="1"/>
  <c r="X306" i="1"/>
  <c r="W306" i="1"/>
  <c r="V306" i="1"/>
  <c r="U306" i="1"/>
  <c r="T306" i="1"/>
  <c r="S306" i="1"/>
  <c r="R306" i="1"/>
  <c r="Q306" i="1"/>
  <c r="P306" i="1"/>
  <c r="O306" i="1"/>
  <c r="N306" i="1"/>
  <c r="M306" i="1"/>
  <c r="L306" i="1"/>
  <c r="K306" i="1"/>
  <c r="AZ305" i="1"/>
  <c r="AP305" i="1"/>
  <c r="AF305" i="1"/>
  <c r="AA305" i="1"/>
  <c r="V305" i="1"/>
  <c r="Q305" i="1"/>
  <c r="M305" i="1"/>
  <c r="L305" i="1"/>
  <c r="K305" i="1"/>
  <c r="AZ304" i="1"/>
  <c r="AP304" i="1"/>
  <c r="AF304" i="1"/>
  <c r="AA304" i="1"/>
  <c r="V304" i="1"/>
  <c r="Q304" i="1"/>
  <c r="M304" i="1"/>
  <c r="L304" i="1"/>
  <c r="K304" i="1"/>
  <c r="AZ303" i="1"/>
  <c r="AY303" i="1"/>
  <c r="AX303" i="1"/>
  <c r="AW303" i="1"/>
  <c r="AV303" i="1"/>
  <c r="AU303" i="1"/>
  <c r="AT303" i="1"/>
  <c r="AS303" i="1"/>
  <c r="AR303" i="1"/>
  <c r="AQ303" i="1"/>
  <c r="AP303" i="1"/>
  <c r="AO303" i="1"/>
  <c r="AN303" i="1"/>
  <c r="AM303" i="1"/>
  <c r="AL303" i="1"/>
  <c r="AK303" i="1"/>
  <c r="AJ303" i="1"/>
  <c r="AI303" i="1"/>
  <c r="AH303" i="1"/>
  <c r="AG303" i="1"/>
  <c r="AF303" i="1"/>
  <c r="AE303" i="1"/>
  <c r="AD303" i="1"/>
  <c r="AC303" i="1"/>
  <c r="AB303" i="1"/>
  <c r="AA303" i="1"/>
  <c r="Z303" i="1"/>
  <c r="Y303" i="1"/>
  <c r="X303" i="1"/>
  <c r="W303" i="1"/>
  <c r="V303" i="1"/>
  <c r="U303" i="1"/>
  <c r="T303" i="1"/>
  <c r="S303" i="1"/>
  <c r="R303" i="1"/>
  <c r="Q303" i="1"/>
  <c r="P303" i="1"/>
  <c r="O303" i="1"/>
  <c r="N303" i="1"/>
  <c r="M303" i="1"/>
  <c r="AZ302" i="1"/>
  <c r="AY302" i="1"/>
  <c r="AX302" i="1"/>
  <c r="AW302" i="1"/>
  <c r="AV302" i="1"/>
  <c r="AU302" i="1"/>
  <c r="AT302" i="1"/>
  <c r="AS302" i="1"/>
  <c r="AR302" i="1"/>
  <c r="AQ302" i="1"/>
  <c r="AP302" i="1"/>
  <c r="AO302" i="1"/>
  <c r="AN302" i="1"/>
  <c r="AM302" i="1"/>
  <c r="AL302" i="1"/>
  <c r="AK302" i="1"/>
  <c r="AJ302" i="1"/>
  <c r="AI302" i="1"/>
  <c r="AH302" i="1"/>
  <c r="AG302" i="1"/>
  <c r="AF302" i="1"/>
  <c r="AE302" i="1"/>
  <c r="AD302" i="1"/>
  <c r="AC302" i="1"/>
  <c r="AB302" i="1"/>
  <c r="AA302" i="1"/>
  <c r="Z302" i="1"/>
  <c r="Y302" i="1"/>
  <c r="X302" i="1"/>
  <c r="W302" i="1"/>
  <c r="V302" i="1"/>
  <c r="U302" i="1"/>
  <c r="T302" i="1"/>
  <c r="S302" i="1"/>
  <c r="R302" i="1"/>
  <c r="Q302" i="1"/>
  <c r="P302" i="1"/>
  <c r="O302" i="1"/>
  <c r="N302" i="1"/>
  <c r="M302" i="1"/>
  <c r="V301" i="1"/>
  <c r="P301" i="1"/>
  <c r="O301" i="1"/>
  <c r="N301" i="1"/>
  <c r="M301" i="1"/>
  <c r="L301" i="1"/>
  <c r="K301" i="1"/>
  <c r="V300" i="1"/>
  <c r="P300" i="1"/>
  <c r="O300" i="1"/>
  <c r="N300" i="1"/>
  <c r="M300" i="1"/>
  <c r="L300" i="1"/>
  <c r="K300" i="1"/>
  <c r="V299" i="1"/>
  <c r="P299" i="1"/>
  <c r="O299" i="1"/>
  <c r="N299" i="1"/>
  <c r="M299" i="1"/>
  <c r="L299" i="1"/>
  <c r="K299" i="1"/>
  <c r="V298" i="1"/>
  <c r="P298" i="1"/>
  <c r="O298" i="1"/>
  <c r="N298" i="1"/>
  <c r="M298" i="1"/>
  <c r="L298" i="1"/>
  <c r="K298" i="1"/>
  <c r="V297" i="1"/>
  <c r="P297" i="1"/>
  <c r="O297" i="1"/>
  <c r="N297" i="1"/>
  <c r="M297" i="1"/>
  <c r="L297" i="1"/>
  <c r="K297" i="1"/>
  <c r="V296" i="1"/>
  <c r="P296" i="1"/>
  <c r="O296" i="1"/>
  <c r="N296" i="1"/>
  <c r="M296" i="1"/>
  <c r="L296" i="1"/>
  <c r="K296" i="1"/>
  <c r="V295" i="1"/>
  <c r="P295" i="1"/>
  <c r="O295" i="1"/>
  <c r="N295" i="1"/>
  <c r="M295" i="1"/>
  <c r="L295" i="1"/>
  <c r="K295" i="1"/>
  <c r="V294" i="1"/>
  <c r="P294" i="1"/>
  <c r="O294" i="1"/>
  <c r="N294" i="1"/>
  <c r="M294" i="1"/>
  <c r="L294" i="1"/>
  <c r="K294" i="1"/>
  <c r="V293" i="1"/>
  <c r="P293" i="1"/>
  <c r="O293" i="1"/>
  <c r="N293" i="1"/>
  <c r="M293" i="1"/>
  <c r="L293" i="1"/>
  <c r="K293" i="1"/>
  <c r="V292" i="1"/>
  <c r="P292" i="1"/>
  <c r="O292" i="1"/>
  <c r="N292" i="1"/>
  <c r="M292" i="1"/>
  <c r="L292" i="1"/>
  <c r="K292" i="1"/>
  <c r="V291" i="1"/>
  <c r="P291" i="1"/>
  <c r="O291" i="1"/>
  <c r="N291" i="1"/>
  <c r="M291" i="1"/>
  <c r="L291" i="1"/>
  <c r="K291" i="1"/>
  <c r="V290" i="1"/>
  <c r="P290" i="1"/>
  <c r="O290" i="1"/>
  <c r="N290" i="1"/>
  <c r="M290" i="1"/>
  <c r="K290" i="1"/>
  <c r="V289" i="1"/>
  <c r="P289" i="1"/>
  <c r="O289" i="1"/>
  <c r="N289" i="1"/>
  <c r="M289" i="1"/>
  <c r="L289" i="1"/>
  <c r="K289" i="1"/>
  <c r="V288" i="1"/>
  <c r="P288" i="1"/>
  <c r="O288" i="1"/>
  <c r="N288" i="1"/>
  <c r="M288" i="1"/>
  <c r="L288" i="1"/>
  <c r="K288" i="1"/>
  <c r="V287" i="1"/>
  <c r="P287" i="1"/>
  <c r="O287" i="1"/>
  <c r="N287" i="1"/>
  <c r="M287" i="1"/>
  <c r="L287" i="1"/>
  <c r="K287" i="1"/>
  <c r="V286" i="1"/>
  <c r="P286" i="1"/>
  <c r="O286" i="1"/>
  <c r="N286" i="1"/>
  <c r="M286" i="1"/>
  <c r="L286" i="1"/>
  <c r="K286" i="1"/>
  <c r="V285" i="1"/>
  <c r="P285" i="1"/>
  <c r="O285" i="1"/>
  <c r="N285" i="1"/>
  <c r="M285" i="1"/>
  <c r="L285" i="1"/>
  <c r="K285" i="1"/>
  <c r="V284" i="1"/>
  <c r="P284" i="1"/>
  <c r="O284" i="1"/>
  <c r="N284" i="1"/>
  <c r="M284" i="1"/>
  <c r="K284" i="1"/>
  <c r="V283" i="1"/>
  <c r="P283" i="1"/>
  <c r="O283" i="1"/>
  <c r="N283" i="1"/>
  <c r="M283" i="1"/>
  <c r="L283" i="1"/>
  <c r="K283" i="1"/>
  <c r="V282" i="1"/>
  <c r="P282" i="1"/>
  <c r="O282" i="1"/>
  <c r="N282" i="1"/>
  <c r="M282" i="1"/>
  <c r="L282" i="1"/>
  <c r="K282" i="1"/>
  <c r="V281" i="1"/>
  <c r="P281" i="1"/>
  <c r="O281" i="1"/>
  <c r="N281" i="1"/>
  <c r="M281" i="1"/>
  <c r="L281" i="1"/>
  <c r="K281" i="1"/>
  <c r="V280" i="1"/>
  <c r="P280" i="1"/>
  <c r="O280" i="1"/>
  <c r="N280" i="1"/>
  <c r="M280" i="1"/>
  <c r="L280" i="1"/>
  <c r="K280" i="1"/>
  <c r="V279" i="1"/>
  <c r="P279" i="1"/>
  <c r="O279" i="1"/>
  <c r="N279" i="1"/>
  <c r="M279" i="1"/>
  <c r="L279" i="1"/>
  <c r="K279" i="1"/>
  <c r="V278" i="1"/>
  <c r="P278" i="1"/>
  <c r="O278" i="1"/>
  <c r="N278" i="1"/>
  <c r="M278" i="1"/>
  <c r="L278" i="1"/>
  <c r="K278" i="1"/>
  <c r="V277" i="1"/>
  <c r="P277" i="1"/>
  <c r="O277" i="1"/>
  <c r="N277" i="1"/>
  <c r="M277" i="1"/>
  <c r="L277" i="1"/>
  <c r="K277" i="1"/>
  <c r="V276" i="1"/>
  <c r="P276" i="1"/>
  <c r="O276" i="1"/>
  <c r="N276" i="1"/>
  <c r="M276" i="1"/>
  <c r="L276" i="1"/>
  <c r="K276" i="1"/>
  <c r="V275" i="1"/>
  <c r="P275" i="1"/>
  <c r="O275" i="1"/>
  <c r="N275" i="1"/>
  <c r="M275" i="1"/>
  <c r="L275" i="1"/>
  <c r="K275" i="1"/>
  <c r="V274" i="1"/>
  <c r="P274" i="1"/>
  <c r="O274" i="1"/>
  <c r="N274" i="1"/>
  <c r="M274" i="1"/>
  <c r="L274" i="1"/>
  <c r="K274" i="1"/>
  <c r="V273" i="1"/>
  <c r="P273" i="1"/>
  <c r="O273" i="1"/>
  <c r="N273" i="1"/>
  <c r="M273" i="1"/>
  <c r="L273" i="1"/>
  <c r="K273" i="1"/>
  <c r="V272" i="1"/>
  <c r="P272" i="1"/>
  <c r="O272" i="1"/>
  <c r="N272" i="1"/>
  <c r="M272" i="1"/>
  <c r="L272" i="1"/>
  <c r="K272" i="1"/>
  <c r="V271" i="1"/>
  <c r="P271" i="1"/>
  <c r="O271" i="1"/>
  <c r="N271" i="1"/>
  <c r="M271" i="1"/>
  <c r="L271" i="1"/>
  <c r="K271" i="1"/>
  <c r="V270" i="1"/>
  <c r="P270" i="1"/>
  <c r="O270" i="1"/>
  <c r="N270" i="1"/>
  <c r="M270" i="1"/>
  <c r="L270" i="1"/>
  <c r="K270" i="1"/>
  <c r="V269" i="1"/>
  <c r="P269" i="1"/>
  <c r="O269" i="1"/>
  <c r="N269" i="1"/>
  <c r="M269" i="1"/>
  <c r="L269" i="1"/>
  <c r="K269" i="1"/>
  <c r="V268" i="1"/>
  <c r="P268" i="1"/>
  <c r="O268" i="1"/>
  <c r="N268" i="1"/>
  <c r="M268" i="1"/>
  <c r="L268" i="1"/>
  <c r="K268" i="1"/>
  <c r="V267" i="1"/>
  <c r="P267" i="1"/>
  <c r="O267" i="1"/>
  <c r="N267" i="1"/>
  <c r="M267" i="1"/>
  <c r="L267" i="1"/>
  <c r="K267" i="1"/>
  <c r="V266" i="1"/>
  <c r="P266" i="1"/>
  <c r="O266" i="1"/>
  <c r="N266" i="1"/>
  <c r="M266" i="1"/>
  <c r="L266" i="1"/>
  <c r="K266" i="1"/>
  <c r="V265" i="1"/>
  <c r="P265" i="1"/>
  <c r="O265" i="1"/>
  <c r="N265" i="1"/>
  <c r="M265" i="1"/>
  <c r="L265" i="1"/>
  <c r="K265" i="1"/>
  <c r="V264" i="1"/>
  <c r="P264" i="1"/>
  <c r="O264" i="1"/>
  <c r="N264" i="1"/>
  <c r="M264" i="1"/>
  <c r="L264" i="1"/>
  <c r="K264" i="1"/>
  <c r="V263" i="1"/>
  <c r="P263" i="1"/>
  <c r="O263" i="1"/>
  <c r="N263" i="1"/>
  <c r="M263" i="1"/>
  <c r="L263" i="1"/>
  <c r="K263" i="1"/>
  <c r="V262" i="1"/>
  <c r="P262" i="1"/>
  <c r="O262" i="1"/>
  <c r="N262" i="1"/>
  <c r="M262" i="1"/>
  <c r="L262" i="1"/>
  <c r="K262" i="1"/>
  <c r="AP261" i="1"/>
  <c r="AO261" i="1"/>
  <c r="AN261" i="1"/>
  <c r="AM261" i="1"/>
  <c r="AL261" i="1"/>
  <c r="AK261" i="1"/>
  <c r="AJ261" i="1"/>
  <c r="AI261" i="1"/>
  <c r="AH261" i="1"/>
  <c r="AG261" i="1"/>
  <c r="AF261" i="1"/>
  <c r="AE261" i="1"/>
  <c r="AD261" i="1"/>
  <c r="AC261" i="1"/>
  <c r="AB261" i="1"/>
  <c r="AA261" i="1"/>
  <c r="Z261" i="1"/>
  <c r="Y261" i="1"/>
  <c r="X261" i="1"/>
  <c r="W261" i="1"/>
  <c r="AA260" i="1"/>
  <c r="V260" i="1"/>
  <c r="Q260" i="1"/>
  <c r="P260" i="1"/>
  <c r="O260" i="1"/>
  <c r="N260" i="1"/>
  <c r="L260" i="1"/>
  <c r="K260" i="1"/>
  <c r="AA259" i="1"/>
  <c r="V259" i="1"/>
  <c r="Q259" i="1"/>
  <c r="P259" i="1"/>
  <c r="O259" i="1"/>
  <c r="N259" i="1"/>
  <c r="M259" i="1"/>
  <c r="L259" i="1"/>
  <c r="K259" i="1"/>
  <c r="AA258" i="1"/>
  <c r="V258" i="1"/>
  <c r="Q258" i="1"/>
  <c r="P258" i="1"/>
  <c r="O258" i="1"/>
  <c r="N258" i="1"/>
  <c r="M258" i="1"/>
  <c r="L258" i="1"/>
  <c r="K258" i="1"/>
  <c r="AA257" i="1"/>
  <c r="V257" i="1"/>
  <c r="Q257" i="1"/>
  <c r="P257" i="1"/>
  <c r="O257" i="1"/>
  <c r="N257" i="1"/>
  <c r="M257" i="1"/>
  <c r="L257" i="1"/>
  <c r="K257" i="1"/>
  <c r="AA256" i="1"/>
  <c r="V256" i="1"/>
  <c r="Q256" i="1"/>
  <c r="P256" i="1"/>
  <c r="O256" i="1"/>
  <c r="N256" i="1"/>
  <c r="M256" i="1"/>
  <c r="L256" i="1"/>
  <c r="K256" i="1"/>
  <c r="AA255" i="1"/>
  <c r="V255" i="1"/>
  <c r="Q255" i="1"/>
  <c r="P255" i="1"/>
  <c r="O255" i="1"/>
  <c r="N255" i="1"/>
  <c r="M255" i="1"/>
  <c r="L255" i="1"/>
  <c r="K255" i="1"/>
  <c r="AA254" i="1"/>
  <c r="V254" i="1"/>
  <c r="Q254" i="1"/>
  <c r="P254" i="1"/>
  <c r="O254" i="1"/>
  <c r="N254" i="1"/>
  <c r="M254" i="1"/>
  <c r="L254" i="1"/>
  <c r="K254" i="1"/>
  <c r="AA253" i="1"/>
  <c r="V253" i="1"/>
  <c r="Q253" i="1"/>
  <c r="P253" i="1"/>
  <c r="O253" i="1"/>
  <c r="N253" i="1"/>
  <c r="M253" i="1"/>
  <c r="L253" i="1"/>
  <c r="K253" i="1"/>
  <c r="AA252" i="1"/>
  <c r="V252" i="1"/>
  <c r="Q252" i="1"/>
  <c r="P252" i="1"/>
  <c r="O252" i="1"/>
  <c r="N252" i="1"/>
  <c r="M252" i="1"/>
  <c r="L252" i="1"/>
  <c r="K252" i="1"/>
  <c r="AA251" i="1"/>
  <c r="V251" i="1"/>
  <c r="Q251" i="1"/>
  <c r="P251" i="1"/>
  <c r="O251" i="1"/>
  <c r="N251" i="1"/>
  <c r="M251" i="1"/>
  <c r="L251" i="1"/>
  <c r="K251" i="1"/>
  <c r="AA250" i="1"/>
  <c r="V250" i="1"/>
  <c r="Q250" i="1"/>
  <c r="P250" i="1"/>
  <c r="O250" i="1"/>
  <c r="N250" i="1"/>
  <c r="M250" i="1"/>
  <c r="L250" i="1"/>
  <c r="K250" i="1"/>
  <c r="AA249" i="1"/>
  <c r="V249" i="1"/>
  <c r="Q249" i="1"/>
  <c r="P249" i="1"/>
  <c r="O249" i="1"/>
  <c r="N249" i="1"/>
  <c r="M249" i="1"/>
  <c r="L249" i="1"/>
  <c r="K249" i="1"/>
  <c r="V248" i="1"/>
  <c r="Q248" i="1"/>
  <c r="P248" i="1"/>
  <c r="O248" i="1"/>
  <c r="N248" i="1"/>
  <c r="M248" i="1"/>
  <c r="L248" i="1"/>
  <c r="K248" i="1"/>
  <c r="AA247" i="1"/>
  <c r="V247" i="1"/>
  <c r="Q247" i="1"/>
  <c r="P247" i="1"/>
  <c r="O247" i="1"/>
  <c r="N247" i="1"/>
  <c r="M247" i="1"/>
  <c r="L247" i="1"/>
  <c r="K247" i="1"/>
  <c r="AA246" i="1"/>
  <c r="V246" i="1"/>
  <c r="Q246" i="1"/>
  <c r="O246" i="1"/>
  <c r="N246" i="1"/>
  <c r="M246" i="1"/>
  <c r="L246" i="1"/>
  <c r="K246" i="1"/>
  <c r="AA245" i="1"/>
  <c r="V245" i="1"/>
  <c r="Q245" i="1"/>
  <c r="P245" i="1"/>
  <c r="O245" i="1"/>
  <c r="N245" i="1"/>
  <c r="M245" i="1"/>
  <c r="L245" i="1"/>
  <c r="K245" i="1"/>
  <c r="AA244" i="1"/>
  <c r="V244" i="1"/>
  <c r="Q244" i="1"/>
  <c r="P244" i="1"/>
  <c r="O244" i="1"/>
  <c r="N244" i="1"/>
  <c r="M244" i="1"/>
  <c r="L244" i="1"/>
  <c r="K244" i="1"/>
  <c r="AA243" i="1"/>
  <c r="V243" i="1"/>
  <c r="Q243" i="1"/>
  <c r="P243" i="1"/>
  <c r="O243" i="1"/>
  <c r="N243" i="1"/>
  <c r="M243" i="1"/>
  <c r="L243" i="1"/>
  <c r="K243" i="1"/>
  <c r="AA242" i="1"/>
  <c r="V242" i="1"/>
  <c r="Q242" i="1"/>
  <c r="P242" i="1"/>
  <c r="O242" i="1"/>
  <c r="N242" i="1"/>
  <c r="M242" i="1"/>
  <c r="L242" i="1"/>
  <c r="K242" i="1"/>
  <c r="AA241" i="1"/>
  <c r="V241" i="1"/>
  <c r="Q241" i="1"/>
  <c r="P241" i="1"/>
  <c r="O241" i="1"/>
  <c r="N241" i="1"/>
  <c r="M241" i="1"/>
  <c r="L241" i="1"/>
  <c r="K241" i="1"/>
  <c r="V240" i="1"/>
  <c r="Q240" i="1"/>
  <c r="P240" i="1"/>
  <c r="O240" i="1"/>
  <c r="N240" i="1"/>
  <c r="M240" i="1"/>
  <c r="L240" i="1"/>
  <c r="K240" i="1"/>
  <c r="AA239" i="1"/>
  <c r="V239" i="1"/>
  <c r="Q239" i="1"/>
  <c r="P239" i="1"/>
  <c r="O239" i="1"/>
  <c r="N239" i="1"/>
  <c r="M239" i="1"/>
  <c r="L239" i="1"/>
  <c r="K239" i="1"/>
  <c r="AA238" i="1"/>
  <c r="V238" i="1"/>
  <c r="Q238" i="1"/>
  <c r="P238" i="1"/>
  <c r="O238" i="1"/>
  <c r="N238" i="1"/>
  <c r="M238" i="1"/>
  <c r="L238" i="1"/>
  <c r="K238" i="1"/>
  <c r="AA237" i="1"/>
  <c r="V237" i="1"/>
  <c r="P237" i="1"/>
  <c r="N237" i="1"/>
  <c r="M237" i="1"/>
  <c r="L237" i="1"/>
  <c r="K237" i="1"/>
  <c r="AA236" i="1"/>
  <c r="V236" i="1"/>
  <c r="U236" i="1"/>
  <c r="T236" i="1"/>
  <c r="S236" i="1"/>
  <c r="R236" i="1"/>
  <c r="Q236" i="1"/>
  <c r="P236" i="1"/>
  <c r="O236" i="1"/>
  <c r="N236" i="1"/>
  <c r="M236" i="1"/>
  <c r="L236" i="1"/>
  <c r="K236" i="1"/>
  <c r="V235" i="1"/>
  <c r="U235" i="1"/>
  <c r="T235" i="1"/>
  <c r="S235" i="1"/>
  <c r="R235" i="1"/>
  <c r="Q235" i="1"/>
  <c r="P235" i="1"/>
  <c r="O235" i="1"/>
  <c r="N235" i="1"/>
  <c r="M235" i="1"/>
  <c r="L235" i="1"/>
  <c r="K235" i="1"/>
  <c r="AA234" i="1"/>
  <c r="V234" i="1"/>
  <c r="U234" i="1"/>
  <c r="T234" i="1"/>
  <c r="S234" i="1"/>
  <c r="R234" i="1"/>
  <c r="Q234" i="1"/>
  <c r="P234" i="1"/>
  <c r="O234" i="1"/>
  <c r="N234" i="1"/>
  <c r="M234" i="1"/>
  <c r="L234" i="1"/>
  <c r="K234" i="1"/>
  <c r="AA233" i="1"/>
  <c r="V233" i="1"/>
  <c r="U233" i="1"/>
  <c r="T233" i="1"/>
  <c r="S233" i="1"/>
  <c r="R233" i="1"/>
  <c r="Q233" i="1"/>
  <c r="P233" i="1"/>
  <c r="O233" i="1"/>
  <c r="N233" i="1"/>
  <c r="M233" i="1"/>
  <c r="L233" i="1"/>
  <c r="K233" i="1"/>
  <c r="AA232" i="1"/>
  <c r="V232" i="1"/>
  <c r="U232" i="1"/>
  <c r="T232" i="1"/>
  <c r="S232" i="1"/>
  <c r="R232" i="1"/>
  <c r="Q232" i="1"/>
  <c r="P232" i="1"/>
  <c r="O232" i="1"/>
  <c r="N232" i="1"/>
  <c r="M232" i="1"/>
  <c r="L232" i="1"/>
  <c r="K232" i="1"/>
  <c r="AA231" i="1"/>
  <c r="V231" i="1"/>
  <c r="U231" i="1"/>
  <c r="S231" i="1"/>
  <c r="R231" i="1"/>
  <c r="Q231" i="1"/>
  <c r="P231" i="1"/>
  <c r="O231" i="1"/>
  <c r="N231" i="1"/>
  <c r="M231" i="1"/>
  <c r="L231" i="1"/>
  <c r="K231" i="1"/>
  <c r="AA230" i="1"/>
  <c r="V230" i="1"/>
  <c r="U230" i="1"/>
  <c r="T230" i="1"/>
  <c r="S230" i="1"/>
  <c r="R230" i="1"/>
  <c r="Q230" i="1"/>
  <c r="P230" i="1"/>
  <c r="O230" i="1"/>
  <c r="N230" i="1"/>
  <c r="M230" i="1"/>
  <c r="L230" i="1"/>
  <c r="K230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AA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AA227" i="1"/>
  <c r="V227" i="1"/>
  <c r="U227" i="1"/>
  <c r="T227" i="1"/>
  <c r="S227" i="1"/>
  <c r="R227" i="1"/>
  <c r="Q227" i="1"/>
  <c r="P227" i="1"/>
  <c r="O227" i="1"/>
  <c r="N227" i="1"/>
  <c r="M227" i="1"/>
  <c r="L227" i="1"/>
  <c r="K227" i="1"/>
  <c r="AA226" i="1"/>
  <c r="V226" i="1"/>
  <c r="U226" i="1"/>
  <c r="T226" i="1"/>
  <c r="S226" i="1"/>
  <c r="R226" i="1"/>
  <c r="Q226" i="1"/>
  <c r="O226" i="1"/>
  <c r="N226" i="1"/>
  <c r="M226" i="1"/>
  <c r="L226" i="1"/>
  <c r="K226" i="1"/>
  <c r="AA225" i="1"/>
  <c r="V225" i="1"/>
  <c r="U225" i="1"/>
  <c r="T225" i="1"/>
  <c r="S225" i="1"/>
  <c r="R225" i="1"/>
  <c r="Q225" i="1"/>
  <c r="P225" i="1"/>
  <c r="O225" i="1"/>
  <c r="N225" i="1"/>
  <c r="M225" i="1"/>
  <c r="L225" i="1"/>
  <c r="K225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AA223" i="1"/>
  <c r="V223" i="1"/>
  <c r="U223" i="1"/>
  <c r="T223" i="1"/>
  <c r="S223" i="1"/>
  <c r="R223" i="1"/>
  <c r="Q223" i="1"/>
  <c r="P223" i="1"/>
  <c r="O223" i="1"/>
  <c r="N223" i="1"/>
  <c r="M223" i="1"/>
  <c r="L223" i="1"/>
  <c r="K223" i="1"/>
  <c r="AA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AA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AA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AA219" i="1"/>
  <c r="V219" i="1"/>
  <c r="U219" i="1"/>
  <c r="T219" i="1"/>
  <c r="S219" i="1"/>
  <c r="R219" i="1"/>
  <c r="Q219" i="1"/>
  <c r="P219" i="1"/>
  <c r="O219" i="1"/>
  <c r="N219" i="1"/>
  <c r="M219" i="1"/>
  <c r="L219" i="1"/>
  <c r="K219" i="1"/>
  <c r="AA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AA217" i="1"/>
  <c r="V217" i="1"/>
  <c r="U217" i="1"/>
  <c r="T217" i="1"/>
  <c r="S217" i="1"/>
  <c r="R217" i="1"/>
  <c r="Q217" i="1"/>
  <c r="P217" i="1"/>
  <c r="O217" i="1"/>
  <c r="N217" i="1"/>
  <c r="M217" i="1"/>
  <c r="L217" i="1"/>
  <c r="K217" i="1"/>
  <c r="AA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AA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AA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AA213" i="1"/>
  <c r="V213" i="1"/>
  <c r="U213" i="1"/>
  <c r="T213" i="1"/>
  <c r="S213" i="1"/>
  <c r="R213" i="1"/>
  <c r="Q213" i="1"/>
  <c r="P213" i="1"/>
  <c r="O213" i="1"/>
  <c r="N213" i="1"/>
  <c r="M213" i="1"/>
  <c r="L213" i="1"/>
  <c r="K213" i="1"/>
  <c r="AA212" i="1"/>
  <c r="V212" i="1"/>
  <c r="U212" i="1"/>
  <c r="T212" i="1"/>
  <c r="S212" i="1"/>
  <c r="R212" i="1"/>
  <c r="Q212" i="1"/>
  <c r="P212" i="1"/>
  <c r="O212" i="1"/>
  <c r="N212" i="1"/>
  <c r="M212" i="1"/>
  <c r="L212" i="1"/>
  <c r="K212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AA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AA209" i="1"/>
  <c r="V209" i="1"/>
  <c r="T209" i="1"/>
  <c r="S209" i="1"/>
  <c r="R209" i="1"/>
  <c r="Q209" i="1"/>
  <c r="P209" i="1"/>
  <c r="O209" i="1"/>
  <c r="N209" i="1"/>
  <c r="M209" i="1"/>
  <c r="L209" i="1"/>
  <c r="K209" i="1"/>
  <c r="AA208" i="1"/>
  <c r="V208" i="1"/>
  <c r="U208" i="1"/>
  <c r="T208" i="1"/>
  <c r="S208" i="1"/>
  <c r="R208" i="1"/>
  <c r="Q208" i="1"/>
  <c r="P208" i="1"/>
  <c r="O208" i="1"/>
  <c r="N208" i="1"/>
  <c r="M208" i="1"/>
  <c r="L208" i="1"/>
  <c r="K208" i="1"/>
  <c r="AA207" i="1"/>
  <c r="V207" i="1"/>
  <c r="U207" i="1"/>
  <c r="T207" i="1"/>
  <c r="S207" i="1"/>
  <c r="R207" i="1"/>
  <c r="Q207" i="1"/>
  <c r="P207" i="1"/>
  <c r="O207" i="1"/>
  <c r="N207" i="1"/>
  <c r="M207" i="1"/>
  <c r="L207" i="1"/>
  <c r="K207" i="1"/>
  <c r="AA206" i="1"/>
  <c r="V206" i="1"/>
  <c r="U206" i="1"/>
  <c r="T206" i="1"/>
  <c r="S206" i="1"/>
  <c r="R206" i="1"/>
  <c r="Q206" i="1"/>
  <c r="P206" i="1"/>
  <c r="O206" i="1"/>
  <c r="N206" i="1"/>
  <c r="M206" i="1"/>
  <c r="L206" i="1"/>
  <c r="K206" i="1"/>
  <c r="AA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AA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AA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AA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AA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AA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AA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AA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AA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AA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AA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AA194" i="1"/>
  <c r="V194" i="1"/>
  <c r="U194" i="1"/>
  <c r="T194" i="1"/>
  <c r="S194" i="1"/>
  <c r="R194" i="1"/>
  <c r="Q194" i="1"/>
  <c r="P194" i="1"/>
  <c r="O194" i="1"/>
  <c r="N194" i="1"/>
  <c r="M194" i="1"/>
  <c r="L194" i="1"/>
  <c r="K194" i="1"/>
  <c r="AA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AA192" i="1"/>
  <c r="V192" i="1"/>
  <c r="U192" i="1"/>
  <c r="T192" i="1"/>
  <c r="S192" i="1"/>
  <c r="R192" i="1"/>
  <c r="Q192" i="1"/>
  <c r="P192" i="1"/>
  <c r="O192" i="1"/>
  <c r="N192" i="1"/>
  <c r="M192" i="1"/>
  <c r="L192" i="1"/>
  <c r="K192" i="1"/>
  <c r="AA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AA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AA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AA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AA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AA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AA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AA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AA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AA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AA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AA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AA178" i="1"/>
  <c r="V178" i="1"/>
  <c r="U178" i="1"/>
  <c r="T178" i="1"/>
  <c r="S178" i="1"/>
  <c r="R178" i="1"/>
  <c r="Q178" i="1"/>
  <c r="P178" i="1"/>
  <c r="O178" i="1"/>
  <c r="N178" i="1"/>
  <c r="M178" i="1"/>
  <c r="K178" i="1"/>
  <c r="AA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AA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AA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AA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AA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AA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AA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AA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AA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AA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A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AA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AA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AA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AA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AA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AA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AA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AA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AA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AA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AA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AA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AA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AA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AA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AA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AA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AA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AA148" i="1"/>
  <c r="V148" i="1"/>
  <c r="T148" i="1"/>
  <c r="S148" i="1"/>
  <c r="R148" i="1"/>
  <c r="Q148" i="1"/>
  <c r="P148" i="1"/>
  <c r="O148" i="1"/>
  <c r="N148" i="1"/>
  <c r="M148" i="1"/>
  <c r="L148" i="1"/>
  <c r="K148" i="1"/>
  <c r="AA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AA146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AA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AA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AA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AA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AA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AA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AA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AA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AA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AA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AA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AA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AA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AA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AA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AA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AA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AA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AA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AA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AA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AA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AA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Q122" i="1"/>
  <c r="P122" i="1"/>
  <c r="O122" i="1"/>
  <c r="N122" i="1"/>
  <c r="M122" i="1"/>
  <c r="L122" i="1"/>
  <c r="K122" i="1"/>
  <c r="AA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AA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AA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AA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AA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AA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AA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AA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AA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AA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AA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AA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AA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AA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AA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AA106" i="1"/>
  <c r="V106" i="1"/>
  <c r="U106" i="1"/>
  <c r="T106" i="1"/>
  <c r="S106" i="1"/>
  <c r="R106" i="1"/>
  <c r="Q106" i="1"/>
  <c r="P106" i="1"/>
  <c r="O106" i="1"/>
  <c r="N106" i="1"/>
  <c r="M106" i="1"/>
  <c r="L106" i="1"/>
  <c r="AA105" i="1"/>
  <c r="V105" i="1"/>
  <c r="U105" i="1"/>
  <c r="T105" i="1"/>
  <c r="S105" i="1"/>
  <c r="R105" i="1"/>
  <c r="Q105" i="1"/>
  <c r="O105" i="1"/>
  <c r="N105" i="1"/>
  <c r="M105" i="1"/>
  <c r="L105" i="1"/>
  <c r="AA104" i="1"/>
  <c r="V104" i="1"/>
  <c r="U104" i="1"/>
  <c r="T104" i="1"/>
  <c r="S104" i="1"/>
  <c r="R104" i="1"/>
  <c r="Q104" i="1"/>
  <c r="P104" i="1"/>
  <c r="O104" i="1"/>
  <c r="N104" i="1"/>
  <c r="M104" i="1"/>
  <c r="L104" i="1"/>
  <c r="AA103" i="1"/>
  <c r="V103" i="1"/>
  <c r="U103" i="1"/>
  <c r="T103" i="1"/>
  <c r="S103" i="1"/>
  <c r="R103" i="1"/>
  <c r="Q103" i="1"/>
  <c r="P103" i="1"/>
  <c r="O103" i="1"/>
  <c r="N103" i="1"/>
  <c r="M103" i="1"/>
  <c r="L103" i="1"/>
  <c r="AA102" i="1"/>
  <c r="V102" i="1"/>
  <c r="U102" i="1"/>
  <c r="T102" i="1"/>
  <c r="S102" i="1"/>
  <c r="R102" i="1"/>
  <c r="Q102" i="1"/>
  <c r="P102" i="1"/>
  <c r="O102" i="1"/>
  <c r="N102" i="1"/>
  <c r="M102" i="1"/>
  <c r="L102" i="1"/>
  <c r="AA101" i="1"/>
  <c r="V101" i="1"/>
  <c r="U101" i="1"/>
  <c r="T101" i="1"/>
  <c r="S101" i="1"/>
  <c r="R101" i="1"/>
  <c r="Q101" i="1"/>
  <c r="P101" i="1"/>
  <c r="O101" i="1"/>
  <c r="N101" i="1"/>
  <c r="M101" i="1"/>
  <c r="L101" i="1"/>
  <c r="AA100" i="1"/>
  <c r="V100" i="1"/>
  <c r="U100" i="1"/>
  <c r="T100" i="1"/>
  <c r="S100" i="1"/>
  <c r="R100" i="1"/>
  <c r="Q100" i="1"/>
  <c r="P100" i="1"/>
  <c r="O100" i="1"/>
  <c r="N100" i="1"/>
  <c r="M100" i="1"/>
  <c r="L100" i="1"/>
  <c r="AA99" i="1"/>
  <c r="V99" i="1"/>
  <c r="U99" i="1"/>
  <c r="T99" i="1"/>
  <c r="S99" i="1"/>
  <c r="R99" i="1"/>
  <c r="Q99" i="1"/>
  <c r="P99" i="1"/>
  <c r="O99" i="1"/>
  <c r="N99" i="1"/>
  <c r="M99" i="1"/>
  <c r="L99" i="1"/>
  <c r="AA98" i="1"/>
  <c r="V98" i="1"/>
  <c r="U98" i="1"/>
  <c r="T98" i="1"/>
  <c r="S98" i="1"/>
  <c r="R98" i="1"/>
  <c r="Q98" i="1"/>
  <c r="P98" i="1"/>
  <c r="O98" i="1"/>
  <c r="N98" i="1"/>
  <c r="M98" i="1"/>
  <c r="L98" i="1"/>
  <c r="AA97" i="1"/>
  <c r="V97" i="1"/>
  <c r="P97" i="1"/>
  <c r="O97" i="1"/>
  <c r="N97" i="1"/>
  <c r="M97" i="1"/>
  <c r="L97" i="1"/>
  <c r="K97" i="1"/>
  <c r="V96" i="1"/>
  <c r="Q96" i="1"/>
  <c r="P96" i="1"/>
  <c r="O96" i="1"/>
  <c r="N96" i="1"/>
  <c r="M96" i="1"/>
  <c r="L96" i="1"/>
  <c r="K96" i="1"/>
  <c r="V95" i="1"/>
  <c r="Q95" i="1"/>
  <c r="P95" i="1"/>
  <c r="O95" i="1"/>
  <c r="N95" i="1"/>
  <c r="M95" i="1"/>
  <c r="L95" i="1"/>
  <c r="K95" i="1"/>
  <c r="V94" i="1"/>
  <c r="Q94" i="1"/>
  <c r="P94" i="1"/>
  <c r="O94" i="1"/>
  <c r="N94" i="1"/>
  <c r="M94" i="1"/>
  <c r="L94" i="1"/>
  <c r="K94" i="1"/>
  <c r="V93" i="1"/>
  <c r="Q93" i="1"/>
  <c r="P93" i="1"/>
  <c r="O93" i="1"/>
  <c r="N93" i="1"/>
  <c r="M93" i="1"/>
  <c r="L93" i="1"/>
  <c r="K93" i="1"/>
  <c r="V92" i="1"/>
  <c r="Q92" i="1"/>
  <c r="P92" i="1"/>
  <c r="O92" i="1"/>
  <c r="N92" i="1"/>
  <c r="M92" i="1"/>
  <c r="L92" i="1"/>
  <c r="K92" i="1"/>
  <c r="V91" i="1"/>
  <c r="Q91" i="1"/>
  <c r="P91" i="1"/>
  <c r="O91" i="1"/>
  <c r="N91" i="1"/>
  <c r="M91" i="1"/>
  <c r="L91" i="1"/>
  <c r="K91" i="1"/>
  <c r="V90" i="1"/>
  <c r="Q90" i="1"/>
  <c r="P90" i="1"/>
  <c r="O90" i="1"/>
  <c r="N90" i="1"/>
  <c r="M90" i="1"/>
  <c r="L90" i="1"/>
  <c r="K90" i="1"/>
  <c r="V89" i="1"/>
  <c r="Q89" i="1"/>
  <c r="P89" i="1"/>
  <c r="O89" i="1"/>
  <c r="N89" i="1"/>
  <c r="M89" i="1"/>
  <c r="L89" i="1"/>
  <c r="K89" i="1"/>
  <c r="V88" i="1"/>
  <c r="Q88" i="1"/>
  <c r="P88" i="1"/>
  <c r="O88" i="1"/>
  <c r="N88" i="1"/>
  <c r="M88" i="1"/>
  <c r="L88" i="1"/>
  <c r="K88" i="1"/>
  <c r="V87" i="1"/>
  <c r="Q87" i="1"/>
  <c r="P87" i="1"/>
  <c r="O87" i="1"/>
  <c r="N87" i="1"/>
  <c r="M87" i="1"/>
  <c r="L87" i="1"/>
  <c r="K87" i="1"/>
  <c r="V86" i="1"/>
  <c r="Q86" i="1"/>
  <c r="P86" i="1"/>
  <c r="O86" i="1"/>
  <c r="N86" i="1"/>
  <c r="M86" i="1"/>
  <c r="L86" i="1"/>
  <c r="K86" i="1"/>
  <c r="V85" i="1"/>
  <c r="Q85" i="1"/>
  <c r="P85" i="1"/>
  <c r="O85" i="1"/>
  <c r="N85" i="1"/>
  <c r="M85" i="1"/>
  <c r="L85" i="1"/>
  <c r="K85" i="1"/>
  <c r="V84" i="1"/>
  <c r="Q84" i="1"/>
  <c r="P84" i="1"/>
  <c r="O84" i="1"/>
  <c r="N84" i="1"/>
  <c r="M84" i="1"/>
  <c r="L84" i="1"/>
  <c r="K84" i="1"/>
  <c r="V83" i="1"/>
  <c r="Q83" i="1"/>
  <c r="P83" i="1"/>
  <c r="O83" i="1"/>
  <c r="N83" i="1"/>
  <c r="M83" i="1"/>
  <c r="L83" i="1"/>
  <c r="K83" i="1"/>
  <c r="V82" i="1"/>
  <c r="Q82" i="1"/>
  <c r="P82" i="1"/>
  <c r="O82" i="1"/>
  <c r="N82" i="1"/>
  <c r="M82" i="1"/>
  <c r="L82" i="1"/>
  <c r="K82" i="1"/>
  <c r="V81" i="1"/>
  <c r="Q81" i="1"/>
  <c r="P81" i="1"/>
  <c r="O81" i="1"/>
  <c r="N81" i="1"/>
  <c r="M81" i="1"/>
  <c r="L81" i="1"/>
  <c r="K81" i="1"/>
  <c r="V80" i="1"/>
  <c r="Q80" i="1"/>
  <c r="P80" i="1"/>
  <c r="O80" i="1"/>
  <c r="N80" i="1"/>
  <c r="M80" i="1"/>
  <c r="L80" i="1"/>
  <c r="K80" i="1"/>
  <c r="V79" i="1"/>
  <c r="Q79" i="1"/>
  <c r="P79" i="1"/>
  <c r="O79" i="1"/>
  <c r="N79" i="1"/>
  <c r="M79" i="1"/>
  <c r="L79" i="1"/>
  <c r="K79" i="1"/>
  <c r="V78" i="1"/>
  <c r="Q78" i="1"/>
  <c r="P78" i="1"/>
  <c r="O78" i="1"/>
  <c r="N78" i="1"/>
  <c r="M78" i="1"/>
  <c r="L78" i="1"/>
  <c r="K78" i="1"/>
  <c r="V77" i="1"/>
  <c r="Q77" i="1"/>
  <c r="P77" i="1"/>
  <c r="O77" i="1"/>
  <c r="N77" i="1"/>
  <c r="M77" i="1"/>
  <c r="L77" i="1"/>
  <c r="K77" i="1"/>
  <c r="V76" i="1"/>
  <c r="Q76" i="1"/>
  <c r="P76" i="1"/>
  <c r="O76" i="1"/>
  <c r="N76" i="1"/>
  <c r="M76" i="1"/>
  <c r="L76" i="1"/>
  <c r="K76" i="1"/>
  <c r="V75" i="1"/>
  <c r="Q75" i="1"/>
  <c r="P75" i="1"/>
  <c r="O75" i="1"/>
  <c r="N75" i="1"/>
  <c r="M75" i="1"/>
  <c r="L75" i="1"/>
  <c r="K75" i="1"/>
  <c r="V74" i="1"/>
  <c r="Q74" i="1"/>
  <c r="P74" i="1"/>
  <c r="O74" i="1"/>
  <c r="N74" i="1"/>
  <c r="M74" i="1"/>
  <c r="L74" i="1"/>
  <c r="K74" i="1"/>
  <c r="V73" i="1"/>
  <c r="Q73" i="1"/>
  <c r="P73" i="1"/>
  <c r="O73" i="1"/>
  <c r="N73" i="1"/>
  <c r="M73" i="1"/>
  <c r="L73" i="1"/>
  <c r="K73" i="1"/>
  <c r="V72" i="1"/>
  <c r="Q72" i="1"/>
  <c r="P72" i="1"/>
  <c r="O72" i="1"/>
  <c r="N72" i="1"/>
  <c r="M72" i="1"/>
  <c r="L72" i="1"/>
  <c r="K72" i="1"/>
  <c r="V71" i="1"/>
  <c r="Q71" i="1"/>
  <c r="P71" i="1"/>
  <c r="O71" i="1"/>
  <c r="N71" i="1"/>
  <c r="M71" i="1"/>
  <c r="L71" i="1"/>
  <c r="K71" i="1"/>
  <c r="V70" i="1"/>
  <c r="Q70" i="1"/>
  <c r="P70" i="1"/>
  <c r="O70" i="1"/>
  <c r="N70" i="1"/>
  <c r="M70" i="1"/>
  <c r="L70" i="1"/>
  <c r="K70" i="1"/>
  <c r="V69" i="1"/>
  <c r="Q69" i="1"/>
  <c r="P69" i="1"/>
  <c r="O69" i="1"/>
  <c r="N69" i="1"/>
  <c r="M69" i="1"/>
  <c r="L69" i="1"/>
  <c r="K69" i="1"/>
  <c r="V68" i="1"/>
  <c r="Q68" i="1"/>
  <c r="P68" i="1"/>
  <c r="O68" i="1"/>
  <c r="N68" i="1"/>
  <c r="M68" i="1"/>
  <c r="L68" i="1"/>
  <c r="K68" i="1"/>
  <c r="Q67" i="1"/>
  <c r="P67" i="1"/>
  <c r="O67" i="1"/>
  <c r="N67" i="1"/>
  <c r="M67" i="1"/>
  <c r="L67" i="1"/>
  <c r="K67" i="1"/>
  <c r="Q66" i="1"/>
  <c r="P66" i="1"/>
  <c r="O66" i="1"/>
  <c r="N66" i="1"/>
  <c r="M66" i="1"/>
  <c r="L66" i="1"/>
  <c r="K66" i="1"/>
  <c r="V65" i="1"/>
  <c r="Q65" i="1"/>
  <c r="P65" i="1"/>
  <c r="O65" i="1"/>
  <c r="N65" i="1"/>
  <c r="M65" i="1"/>
  <c r="L65" i="1"/>
  <c r="K65" i="1"/>
  <c r="V64" i="1"/>
  <c r="Q64" i="1"/>
  <c r="P64" i="1"/>
  <c r="O64" i="1"/>
  <c r="N64" i="1"/>
  <c r="M64" i="1"/>
  <c r="L64" i="1"/>
  <c r="K64" i="1"/>
  <c r="Q63" i="1"/>
  <c r="P63" i="1"/>
  <c r="O63" i="1"/>
  <c r="N63" i="1"/>
  <c r="M63" i="1"/>
  <c r="L63" i="1"/>
  <c r="K63" i="1"/>
  <c r="V62" i="1"/>
  <c r="Q62" i="1"/>
  <c r="P62" i="1"/>
  <c r="O62" i="1"/>
  <c r="N62" i="1"/>
  <c r="M62" i="1"/>
  <c r="L62" i="1"/>
  <c r="K62" i="1"/>
  <c r="V61" i="1"/>
  <c r="Q61" i="1"/>
  <c r="P61" i="1"/>
  <c r="O61" i="1"/>
  <c r="N61" i="1"/>
  <c r="M61" i="1"/>
  <c r="L61" i="1"/>
  <c r="K61" i="1"/>
  <c r="V60" i="1"/>
  <c r="Q60" i="1"/>
  <c r="P60" i="1"/>
  <c r="O60" i="1"/>
  <c r="N60" i="1"/>
  <c r="M60" i="1"/>
  <c r="L60" i="1"/>
  <c r="K60" i="1"/>
  <c r="V59" i="1"/>
  <c r="Q59" i="1"/>
  <c r="P59" i="1"/>
  <c r="O59" i="1"/>
  <c r="N59" i="1"/>
  <c r="M59" i="1"/>
  <c r="L59" i="1"/>
  <c r="K59" i="1"/>
  <c r="Q58" i="1"/>
  <c r="P58" i="1"/>
  <c r="O58" i="1"/>
  <c r="N58" i="1"/>
  <c r="M58" i="1"/>
  <c r="L58" i="1"/>
  <c r="K58" i="1"/>
  <c r="V57" i="1"/>
  <c r="Q57" i="1"/>
  <c r="P57" i="1"/>
  <c r="O57" i="1"/>
  <c r="N57" i="1"/>
  <c r="M57" i="1"/>
  <c r="L57" i="1"/>
  <c r="K57" i="1"/>
  <c r="V56" i="1"/>
  <c r="Q56" i="1"/>
  <c r="P56" i="1"/>
  <c r="O56" i="1"/>
  <c r="N56" i="1"/>
  <c r="M56" i="1"/>
  <c r="L56" i="1"/>
  <c r="K56" i="1"/>
  <c r="V55" i="1"/>
  <c r="Q55" i="1"/>
  <c r="P55" i="1"/>
  <c r="O55" i="1"/>
  <c r="N55" i="1"/>
  <c r="M55" i="1"/>
  <c r="L55" i="1"/>
  <c r="K55" i="1"/>
  <c r="V54" i="1"/>
  <c r="Q54" i="1"/>
  <c r="P54" i="1"/>
  <c r="O54" i="1"/>
  <c r="N54" i="1"/>
  <c r="M54" i="1"/>
  <c r="L54" i="1"/>
  <c r="K54" i="1"/>
  <c r="V53" i="1"/>
  <c r="Q53" i="1"/>
  <c r="P53" i="1"/>
  <c r="O53" i="1"/>
  <c r="N53" i="1"/>
  <c r="M53" i="1"/>
  <c r="L53" i="1"/>
  <c r="K53" i="1"/>
  <c r="V52" i="1"/>
  <c r="Q52" i="1"/>
  <c r="P52" i="1"/>
  <c r="O52" i="1"/>
  <c r="N52" i="1"/>
  <c r="M52" i="1"/>
  <c r="L52" i="1"/>
  <c r="K52" i="1"/>
  <c r="V51" i="1"/>
  <c r="Q51" i="1"/>
  <c r="P51" i="1"/>
  <c r="O51" i="1"/>
  <c r="N51" i="1"/>
  <c r="M51" i="1"/>
  <c r="L51" i="1"/>
  <c r="K51" i="1"/>
  <c r="V50" i="1"/>
  <c r="Q50" i="1"/>
  <c r="P50" i="1"/>
  <c r="O50" i="1"/>
  <c r="N50" i="1"/>
  <c r="M50" i="1"/>
  <c r="L50" i="1"/>
  <c r="K50" i="1"/>
  <c r="V49" i="1"/>
  <c r="Q49" i="1"/>
  <c r="P49" i="1"/>
  <c r="O49" i="1"/>
  <c r="N49" i="1"/>
  <c r="M49" i="1"/>
  <c r="L49" i="1"/>
  <c r="K49" i="1"/>
  <c r="V48" i="1"/>
  <c r="Q48" i="1"/>
  <c r="P48" i="1"/>
  <c r="O48" i="1"/>
  <c r="N48" i="1"/>
  <c r="M48" i="1"/>
  <c r="L48" i="1"/>
  <c r="K48" i="1"/>
  <c r="V47" i="1"/>
  <c r="Q47" i="1"/>
  <c r="P47" i="1"/>
  <c r="O47" i="1"/>
  <c r="N47" i="1"/>
  <c r="M47" i="1"/>
  <c r="L47" i="1"/>
  <c r="K47" i="1"/>
  <c r="V46" i="1"/>
  <c r="Q46" i="1"/>
  <c r="P46" i="1"/>
  <c r="O46" i="1"/>
  <c r="N46" i="1"/>
  <c r="M46" i="1"/>
  <c r="L46" i="1"/>
  <c r="K46" i="1"/>
  <c r="V45" i="1"/>
  <c r="Q45" i="1"/>
  <c r="P45" i="1"/>
  <c r="O45" i="1"/>
  <c r="N45" i="1"/>
  <c r="M45" i="1"/>
  <c r="L45" i="1"/>
  <c r="K45" i="1"/>
  <c r="V44" i="1"/>
  <c r="Q44" i="1"/>
  <c r="P44" i="1"/>
  <c r="O44" i="1"/>
  <c r="N44" i="1"/>
  <c r="M44" i="1"/>
  <c r="L44" i="1"/>
  <c r="K44" i="1"/>
  <c r="V43" i="1"/>
  <c r="Q43" i="1"/>
  <c r="P43" i="1"/>
  <c r="O43" i="1"/>
  <c r="N43" i="1"/>
  <c r="M43" i="1"/>
  <c r="L43" i="1"/>
  <c r="K43" i="1"/>
  <c r="V42" i="1"/>
  <c r="Q42" i="1"/>
  <c r="P42" i="1"/>
  <c r="O42" i="1"/>
  <c r="N42" i="1"/>
  <c r="M42" i="1"/>
  <c r="L42" i="1"/>
  <c r="K42" i="1"/>
  <c r="V41" i="1"/>
  <c r="Q41" i="1"/>
  <c r="P41" i="1"/>
  <c r="O41" i="1"/>
  <c r="N41" i="1"/>
  <c r="M41" i="1"/>
  <c r="L41" i="1"/>
  <c r="K41" i="1"/>
  <c r="V40" i="1"/>
  <c r="Q40" i="1"/>
  <c r="P40" i="1"/>
  <c r="O40" i="1"/>
  <c r="N40" i="1"/>
  <c r="M40" i="1"/>
  <c r="L40" i="1"/>
  <c r="K40" i="1"/>
  <c r="V39" i="1"/>
  <c r="Q39" i="1"/>
  <c r="P39" i="1"/>
  <c r="O39" i="1"/>
  <c r="N39" i="1"/>
  <c r="M39" i="1"/>
  <c r="L39" i="1"/>
  <c r="K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2" i="1"/>
  <c r="AA21" i="1"/>
  <c r="AA20" i="1"/>
  <c r="AA19" i="1"/>
  <c r="AA18" i="1"/>
  <c r="AA17" i="1"/>
  <c r="AA15" i="1"/>
  <c r="AA14" i="1"/>
  <c r="AA13" i="1"/>
  <c r="AA12" i="1"/>
  <c r="AA11" i="1"/>
  <c r="AA10" i="1"/>
  <c r="AA9" i="1"/>
  <c r="AA8" i="1"/>
  <c r="AA7" i="1"/>
  <c r="AA6" i="1"/>
  <c r="AA5" i="1"/>
  <c r="V5" i="1"/>
  <c r="P5" i="1"/>
  <c r="O5" i="1"/>
  <c r="N5" i="1"/>
  <c r="L5" i="1"/>
  <c r="K5" i="1"/>
  <c r="A15" i="2"/>
  <c r="A14" i="2"/>
  <c r="A12" i="2"/>
  <c r="A11" i="2"/>
  <c r="A10" i="2"/>
  <c r="A9" i="2"/>
  <c r="B17" i="5"/>
  <c r="B16" i="5"/>
  <c r="B15" i="5"/>
  <c r="I1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Konstantin B. Borisov</author>
  </authors>
  <commentList>
    <comment ref="F3" authorId="0" shapeId="0" xr:uid="{00000000-0006-0000-0200-00000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Высокие: не менее 2,5% в год.
Умеренные: от 1,5% до 2,5% в год.
Низкие: менее 1,5% в год.</t>
        </r>
      </text>
    </comment>
    <comment ref="G262" authorId="0" shapeId="0" xr:uid="{00000000-0006-0000-0200-00000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I262" authorId="0" shapeId="0" xr:uid="{00000000-0006-0000-0200-00000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Включая строительство</t>
        </r>
      </text>
    </comment>
    <comment ref="G263" authorId="0" shapeId="0" xr:uid="{00000000-0006-0000-0200-00000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4" authorId="0" shapeId="0" xr:uid="{00000000-0006-0000-0200-00000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5" authorId="0" shapeId="0" xr:uid="{00000000-0006-0000-0200-00000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6" authorId="0" shapeId="0" xr:uid="{00000000-0006-0000-0200-00000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7" authorId="0" shapeId="0" xr:uid="{00000000-0006-0000-0200-00000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8" authorId="0" shapeId="0" xr:uid="{00000000-0006-0000-0200-00000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9" authorId="0" shapeId="0" xr:uid="{00000000-0006-0000-0200-00000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0" authorId="0" shapeId="0" xr:uid="{00000000-0006-0000-0200-00000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1" authorId="0" shapeId="0" xr:uid="{00000000-0006-0000-0200-00000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2" authorId="0" shapeId="0" xr:uid="{00000000-0006-0000-0200-00000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3" authorId="0" shapeId="0" xr:uid="{00000000-0006-0000-0200-00000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4" authorId="0" shapeId="0" xr:uid="{00000000-0006-0000-0200-00000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5" authorId="0" shapeId="0" xr:uid="{00000000-0006-0000-0200-00001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6" authorId="0" shapeId="0" xr:uid="{00000000-0006-0000-0200-00001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7" authorId="0" shapeId="0" xr:uid="{00000000-0006-0000-0200-00001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8" authorId="0" shapeId="0" xr:uid="{00000000-0006-0000-0200-00001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9" authorId="0" shapeId="0" xr:uid="{00000000-0006-0000-0200-00001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0" authorId="0" shapeId="0" xr:uid="{00000000-0006-0000-0200-00001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1" authorId="0" shapeId="0" xr:uid="{00000000-0006-0000-0200-00001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2" authorId="0" shapeId="0" xr:uid="{00000000-0006-0000-0200-00001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3" authorId="0" shapeId="0" xr:uid="{00000000-0006-0000-0200-00001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4" authorId="0" shapeId="0" xr:uid="{00000000-0006-0000-0200-00001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5" authorId="0" shapeId="0" xr:uid="{00000000-0006-0000-0200-00001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6" authorId="0" shapeId="0" xr:uid="{00000000-0006-0000-0200-00001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7" authorId="0" shapeId="0" xr:uid="{00000000-0006-0000-0200-00001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8" authorId="0" shapeId="0" xr:uid="{00000000-0006-0000-0200-00001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9" authorId="0" shapeId="0" xr:uid="{00000000-0006-0000-0200-00001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0" authorId="0" shapeId="0" xr:uid="{00000000-0006-0000-0200-00001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1" authorId="0" shapeId="0" xr:uid="{00000000-0006-0000-0200-00002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2" authorId="0" shapeId="0" xr:uid="{00000000-0006-0000-0200-00002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3" authorId="0" shapeId="0" xr:uid="{00000000-0006-0000-0200-00002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4" authorId="0" shapeId="0" xr:uid="{00000000-0006-0000-0200-00002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5" authorId="0" shapeId="0" xr:uid="{00000000-0006-0000-0200-00002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6" authorId="0" shapeId="0" xr:uid="{00000000-0006-0000-0200-00002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7" authorId="0" shapeId="0" xr:uid="{00000000-0006-0000-0200-00002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8" authorId="0" shapeId="0" xr:uid="{00000000-0006-0000-0200-00002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9" authorId="0" shapeId="0" xr:uid="{00000000-0006-0000-0200-00002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300" authorId="0" shapeId="0" xr:uid="{00000000-0006-0000-0200-00002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301" authorId="0" shapeId="0" xr:uid="{00000000-0006-0000-0200-00002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02" authorId="0" shapeId="0" xr:uid="{00000000-0006-0000-0200-00002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03" authorId="0" shapeId="0" xr:uid="{00000000-0006-0000-0200-00002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03" authorId="0" shapeId="0" xr:uid="{00000000-0006-0000-0200-00002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04" authorId="0" shapeId="0" xr:uid="{00000000-0006-0000-0200-00002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05" authorId="0" shapeId="0" xr:uid="{00000000-0006-0000-0200-00002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05" authorId="0" shapeId="0" xr:uid="{00000000-0006-0000-0200-00003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06" authorId="0" shapeId="0" xr:uid="{00000000-0006-0000-0200-00003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07" authorId="0" shapeId="0" xr:uid="{00000000-0006-0000-0200-00003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07" authorId="0" shapeId="0" xr:uid="{00000000-0006-0000-0200-00003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08" authorId="0" shapeId="0" xr:uid="{00000000-0006-0000-0200-00003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09" authorId="0" shapeId="0" xr:uid="{00000000-0006-0000-0200-00003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09" authorId="0" shapeId="0" xr:uid="{00000000-0006-0000-0200-00003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10" authorId="0" shapeId="0" xr:uid="{00000000-0006-0000-0200-00003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11" authorId="0" shapeId="0" xr:uid="{00000000-0006-0000-0200-00003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11" authorId="0" shapeId="0" xr:uid="{00000000-0006-0000-0200-00003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12" authorId="0" shapeId="0" xr:uid="{00000000-0006-0000-0200-00003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13" authorId="0" shapeId="0" xr:uid="{00000000-0006-0000-0200-00003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13" authorId="0" shapeId="0" xr:uid="{00000000-0006-0000-0200-00003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14" authorId="0" shapeId="0" xr:uid="{00000000-0006-0000-0200-00003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15" authorId="0" shapeId="0" xr:uid="{00000000-0006-0000-0200-00003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15" authorId="0" shapeId="0" xr:uid="{00000000-0006-0000-0200-00003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16" authorId="0" shapeId="0" xr:uid="{00000000-0006-0000-0200-00004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17" authorId="0" shapeId="0" xr:uid="{00000000-0006-0000-0200-00004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17" authorId="0" shapeId="0" xr:uid="{00000000-0006-0000-0200-00004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18" authorId="0" shapeId="0" xr:uid="{00000000-0006-0000-0200-00004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19" authorId="0" shapeId="0" xr:uid="{00000000-0006-0000-0200-00004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19" authorId="0" shapeId="0" xr:uid="{00000000-0006-0000-0200-00004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20" authorId="0" shapeId="0" xr:uid="{00000000-0006-0000-0200-00004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21" authorId="0" shapeId="0" xr:uid="{00000000-0006-0000-0200-00004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21" authorId="0" shapeId="0" xr:uid="{00000000-0006-0000-0200-00004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22" authorId="0" shapeId="0" xr:uid="{00000000-0006-0000-0200-00004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23" authorId="0" shapeId="0" xr:uid="{00000000-0006-0000-0200-00004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23" authorId="0" shapeId="0" xr:uid="{00000000-0006-0000-0200-00004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24" authorId="0" shapeId="0" xr:uid="{00000000-0006-0000-0200-00004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25" authorId="0" shapeId="0" xr:uid="{00000000-0006-0000-0200-00004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25" authorId="0" shapeId="0" xr:uid="{00000000-0006-0000-0200-00004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26" authorId="0" shapeId="0" xr:uid="{00000000-0006-0000-0200-00004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27" authorId="0" shapeId="0" xr:uid="{00000000-0006-0000-0200-00005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27" authorId="0" shapeId="0" xr:uid="{00000000-0006-0000-0200-00005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28" authorId="0" shapeId="0" xr:uid="{00000000-0006-0000-0200-00005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29" authorId="0" shapeId="0" xr:uid="{00000000-0006-0000-0200-00005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29" authorId="0" shapeId="0" xr:uid="{00000000-0006-0000-0200-00005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30" authorId="0" shapeId="0" xr:uid="{00000000-0006-0000-0200-00005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31" authorId="0" shapeId="0" xr:uid="{00000000-0006-0000-0200-00005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31" authorId="0" shapeId="0" xr:uid="{00000000-0006-0000-0200-00005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32" authorId="0" shapeId="0" xr:uid="{00000000-0006-0000-0200-00005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33" authorId="0" shapeId="0" xr:uid="{00000000-0006-0000-0200-00005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33" authorId="0" shapeId="0" xr:uid="{00000000-0006-0000-0200-00005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34" authorId="0" shapeId="0" xr:uid="{00000000-0006-0000-0200-00005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35" authorId="0" shapeId="0" xr:uid="{00000000-0006-0000-0200-00005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35" authorId="0" shapeId="0" xr:uid="{00000000-0006-0000-0200-00005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36" authorId="0" shapeId="0" xr:uid="{00000000-0006-0000-0200-00005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37" authorId="0" shapeId="0" xr:uid="{00000000-0006-0000-0200-00005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37" authorId="0" shapeId="0" xr:uid="{00000000-0006-0000-0200-00006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38" authorId="0" shapeId="0" xr:uid="{00000000-0006-0000-0200-00006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39" authorId="0" shapeId="0" xr:uid="{00000000-0006-0000-0200-00006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39" authorId="0" shapeId="0" xr:uid="{00000000-0006-0000-0200-00006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40" authorId="0" shapeId="0" xr:uid="{00000000-0006-0000-0200-00006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41" authorId="0" shapeId="0" xr:uid="{00000000-0006-0000-0200-00006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41" authorId="0" shapeId="0" xr:uid="{00000000-0006-0000-0200-00006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42" authorId="0" shapeId="0" xr:uid="{00000000-0006-0000-0200-00006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43" authorId="0" shapeId="0" xr:uid="{00000000-0006-0000-0200-00006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43" authorId="0" shapeId="0" xr:uid="{00000000-0006-0000-0200-00006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44" authorId="0" shapeId="0" xr:uid="{00000000-0006-0000-0200-00006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45" authorId="0" shapeId="0" xr:uid="{00000000-0006-0000-0200-00006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45" authorId="0" shapeId="0" xr:uid="{00000000-0006-0000-0200-00006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46" authorId="0" shapeId="0" xr:uid="{00000000-0006-0000-0200-00006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47" authorId="0" shapeId="0" xr:uid="{00000000-0006-0000-0200-00006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47" authorId="0" shapeId="0" xr:uid="{00000000-0006-0000-0200-00006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48" authorId="0" shapeId="0" xr:uid="{00000000-0006-0000-0200-00007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49" authorId="0" shapeId="0" xr:uid="{00000000-0006-0000-0200-00007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49" authorId="0" shapeId="0" xr:uid="{00000000-0006-0000-0200-00007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50" authorId="0" shapeId="0" xr:uid="{00000000-0006-0000-0200-00007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51" authorId="0" shapeId="0" xr:uid="{00000000-0006-0000-0200-00007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51" authorId="0" shapeId="0" xr:uid="{00000000-0006-0000-0200-00007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52" authorId="0" shapeId="0" xr:uid="{00000000-0006-0000-0200-00007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53" authorId="0" shapeId="0" xr:uid="{00000000-0006-0000-0200-00007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53" authorId="0" shapeId="0" xr:uid="{00000000-0006-0000-0200-00007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54" authorId="0" shapeId="0" xr:uid="{00000000-0006-0000-0200-00007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55" authorId="0" shapeId="0" xr:uid="{00000000-0006-0000-0200-00007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55" authorId="0" shapeId="0" xr:uid="{00000000-0006-0000-0200-00007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56" authorId="0" shapeId="0" xr:uid="{00000000-0006-0000-0200-00007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57" authorId="0" shapeId="0" xr:uid="{00000000-0006-0000-0200-00007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57" authorId="0" shapeId="0" xr:uid="{00000000-0006-0000-0200-00007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58" authorId="0" shapeId="0" xr:uid="{00000000-0006-0000-0200-00007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59" authorId="0" shapeId="0" xr:uid="{00000000-0006-0000-0200-00008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59" authorId="0" shapeId="0" xr:uid="{00000000-0006-0000-0200-00008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60" authorId="0" shapeId="0" xr:uid="{00000000-0006-0000-0200-00008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61" authorId="0" shapeId="0" xr:uid="{00000000-0006-0000-0200-00008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61" authorId="0" shapeId="0" xr:uid="{00000000-0006-0000-0200-00008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62" authorId="0" shapeId="0" xr:uid="{00000000-0006-0000-0200-00008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63" authorId="0" shapeId="0" xr:uid="{00000000-0006-0000-0200-00008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63" authorId="0" shapeId="0" xr:uid="{00000000-0006-0000-0200-00008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64" authorId="0" shapeId="0" xr:uid="{00000000-0006-0000-0200-00008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65" authorId="0" shapeId="0" xr:uid="{00000000-0006-0000-0200-00008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65" authorId="0" shapeId="0" xr:uid="{00000000-0006-0000-0200-00008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66" authorId="0" shapeId="0" xr:uid="{00000000-0006-0000-0200-00008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67" authorId="0" shapeId="0" xr:uid="{00000000-0006-0000-0200-00008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67" authorId="0" shapeId="0" xr:uid="{00000000-0006-0000-0200-00008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68" authorId="0" shapeId="0" xr:uid="{00000000-0006-0000-0200-00008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69" authorId="0" shapeId="0" xr:uid="{00000000-0006-0000-0200-00008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69" authorId="0" shapeId="0" xr:uid="{00000000-0006-0000-0200-00009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70" authorId="0" shapeId="0" xr:uid="{00000000-0006-0000-0200-00009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71" authorId="0" shapeId="0" xr:uid="{00000000-0006-0000-0200-00009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71" authorId="0" shapeId="0" xr:uid="{00000000-0006-0000-0200-00009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72" authorId="0" shapeId="0" xr:uid="{00000000-0006-0000-0200-00009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73" authorId="0" shapeId="0" xr:uid="{00000000-0006-0000-0200-00009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73" authorId="0" shapeId="0" xr:uid="{00000000-0006-0000-0200-00009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74" authorId="0" shapeId="0" xr:uid="{00000000-0006-0000-0200-00009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75" authorId="0" shapeId="0" xr:uid="{00000000-0006-0000-0200-00009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75" authorId="0" shapeId="0" xr:uid="{00000000-0006-0000-0200-00009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76" authorId="0" shapeId="0" xr:uid="{00000000-0006-0000-0200-00009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77" authorId="0" shapeId="0" xr:uid="{00000000-0006-0000-0200-00009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77" authorId="0" shapeId="0" xr:uid="{00000000-0006-0000-0200-00009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78" authorId="0" shapeId="0" xr:uid="{00000000-0006-0000-0200-00009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79" authorId="0" shapeId="0" xr:uid="{00000000-0006-0000-0200-00009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79" authorId="0" shapeId="0" xr:uid="{00000000-0006-0000-0200-00009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80" authorId="0" shapeId="0" xr:uid="{00000000-0006-0000-0200-0000A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81" authorId="0" shapeId="0" xr:uid="{00000000-0006-0000-0200-0000A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81" authorId="0" shapeId="0" xr:uid="{00000000-0006-0000-0200-0000A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82" authorId="0" shapeId="0" xr:uid="{00000000-0006-0000-0200-0000A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83" authorId="0" shapeId="0" xr:uid="{00000000-0006-0000-0200-0000A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83" authorId="0" shapeId="0" xr:uid="{00000000-0006-0000-0200-0000A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84" authorId="0" shapeId="0" xr:uid="{00000000-0006-0000-0200-0000A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85" authorId="0" shapeId="0" xr:uid="{00000000-0006-0000-0200-0000A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85" authorId="0" shapeId="0" xr:uid="{00000000-0006-0000-0200-0000A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86" authorId="0" shapeId="0" xr:uid="{00000000-0006-0000-0200-0000A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87" authorId="0" shapeId="0" xr:uid="{00000000-0006-0000-0200-0000A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87" authorId="0" shapeId="0" xr:uid="{00000000-0006-0000-0200-0000A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88" authorId="0" shapeId="0" xr:uid="{00000000-0006-0000-0200-0000A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89" authorId="0" shapeId="0" xr:uid="{00000000-0006-0000-0200-0000A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89" authorId="0" shapeId="0" xr:uid="{00000000-0006-0000-0200-0000A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90" authorId="0" shapeId="0" xr:uid="{00000000-0006-0000-0200-0000A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91" authorId="0" shapeId="0" xr:uid="{00000000-0006-0000-0200-0000B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91" authorId="0" shapeId="0" xr:uid="{00000000-0006-0000-0200-0000B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92" authorId="0" shapeId="0" xr:uid="{00000000-0006-0000-0200-0000B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93" authorId="0" shapeId="0" xr:uid="{00000000-0006-0000-0200-0000B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93" authorId="0" shapeId="0" xr:uid="{00000000-0006-0000-0200-0000B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94" authorId="0" shapeId="0" xr:uid="{00000000-0006-0000-0200-0000B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95" authorId="0" shapeId="0" xr:uid="{00000000-0006-0000-0200-0000B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95" authorId="0" shapeId="0" xr:uid="{00000000-0006-0000-0200-0000B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96" authorId="0" shapeId="0" xr:uid="{00000000-0006-0000-0200-0000B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97" authorId="0" shapeId="0" xr:uid="{00000000-0006-0000-0200-0000B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97" authorId="0" shapeId="0" xr:uid="{00000000-0006-0000-0200-0000B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98" authorId="0" shapeId="0" xr:uid="{00000000-0006-0000-0200-0000B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99" authorId="0" shapeId="0" xr:uid="{00000000-0006-0000-0200-0000B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99" authorId="0" shapeId="0" xr:uid="{00000000-0006-0000-0200-0000B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00" authorId="0" shapeId="0" xr:uid="{00000000-0006-0000-0200-0000B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01" authorId="0" shapeId="0" xr:uid="{00000000-0006-0000-0200-0000B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01" authorId="0" shapeId="0" xr:uid="{00000000-0006-0000-0200-0000C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02" authorId="0" shapeId="0" xr:uid="{00000000-0006-0000-0200-0000C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03" authorId="0" shapeId="0" xr:uid="{00000000-0006-0000-0200-0000C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03" authorId="0" shapeId="0" xr:uid="{00000000-0006-0000-0200-0000C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04" authorId="0" shapeId="0" xr:uid="{00000000-0006-0000-0200-0000C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05" authorId="0" shapeId="0" xr:uid="{00000000-0006-0000-0200-0000C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05" authorId="0" shapeId="0" xr:uid="{00000000-0006-0000-0200-0000C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06" authorId="0" shapeId="0" xr:uid="{00000000-0006-0000-0200-0000C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07" authorId="0" shapeId="0" xr:uid="{00000000-0006-0000-0200-0000C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07" authorId="0" shapeId="0" xr:uid="{00000000-0006-0000-0200-0000C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08" authorId="0" shapeId="0" xr:uid="{00000000-0006-0000-0200-0000C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09" authorId="0" shapeId="0" xr:uid="{00000000-0006-0000-0200-0000C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09" authorId="0" shapeId="0" xr:uid="{00000000-0006-0000-0200-0000C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10" authorId="0" shapeId="0" xr:uid="{00000000-0006-0000-0200-0000C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11" authorId="0" shapeId="0" xr:uid="{00000000-0006-0000-0200-0000C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11" authorId="0" shapeId="0" xr:uid="{00000000-0006-0000-0200-0000C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12" authorId="0" shapeId="0" xr:uid="{00000000-0006-0000-0200-0000D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13" authorId="0" shapeId="0" xr:uid="{00000000-0006-0000-0200-0000D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13" authorId="0" shapeId="0" xr:uid="{00000000-0006-0000-0200-0000D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14" authorId="0" shapeId="0" xr:uid="{00000000-0006-0000-0200-0000D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15" authorId="0" shapeId="0" xr:uid="{00000000-0006-0000-0200-0000D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15" authorId="0" shapeId="0" xr:uid="{00000000-0006-0000-0200-0000D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16" authorId="0" shapeId="0" xr:uid="{00000000-0006-0000-0200-0000D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17" authorId="0" shapeId="0" xr:uid="{00000000-0006-0000-0200-0000D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17" authorId="0" shapeId="0" xr:uid="{00000000-0006-0000-0200-0000D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18" authorId="0" shapeId="0" xr:uid="{00000000-0006-0000-0200-0000D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19" authorId="0" shapeId="0" xr:uid="{00000000-0006-0000-0200-0000D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19" authorId="0" shapeId="0" xr:uid="{00000000-0006-0000-0200-0000D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20" authorId="0" shapeId="0" xr:uid="{00000000-0006-0000-0200-0000D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21" authorId="0" shapeId="0" xr:uid="{00000000-0006-0000-0200-0000D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21" authorId="0" shapeId="0" xr:uid="{00000000-0006-0000-0200-0000D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22" authorId="0" shapeId="0" xr:uid="{00000000-0006-0000-0200-0000D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23" authorId="0" shapeId="0" xr:uid="{00000000-0006-0000-0200-0000E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23" authorId="0" shapeId="0" xr:uid="{00000000-0006-0000-0200-0000E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24" authorId="0" shapeId="0" xr:uid="{00000000-0006-0000-0200-0000E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25" authorId="0" shapeId="0" xr:uid="{00000000-0006-0000-0200-0000E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25" authorId="0" shapeId="0" xr:uid="{00000000-0006-0000-0200-0000E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26" authorId="0" shapeId="0" xr:uid="{00000000-0006-0000-0200-0000E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27" authorId="0" shapeId="0" xr:uid="{00000000-0006-0000-0200-0000E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27" authorId="0" shapeId="0" xr:uid="{00000000-0006-0000-0200-0000E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E428" authorId="0" shapeId="0" xr:uid="{00000000-0006-0000-0200-0000E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28" authorId="0" shapeId="0" xr:uid="{00000000-0006-0000-0200-0000E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29" authorId="0" shapeId="0" xr:uid="{00000000-0006-0000-0200-0000E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Stagnation, Sanctions, Self-Sufficiency</t>
        </r>
      </text>
    </comment>
    <comment ref="F429" authorId="0" shapeId="0" xr:uid="{00000000-0006-0000-0200-0000E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Низкие: менее 1,5% в год.</t>
        </r>
      </text>
    </comment>
    <comment ref="E430" authorId="0" shapeId="0" xr:uid="{00000000-0006-0000-0200-0000E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0" authorId="0" shapeId="0" xr:uid="{00000000-0006-0000-0200-0000E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1" authorId="0" shapeId="0" xr:uid="{00000000-0006-0000-0200-0000E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1" authorId="0" shapeId="0" xr:uid="{00000000-0006-0000-0200-0000E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2" authorId="0" shapeId="0" xr:uid="{00000000-0006-0000-0200-0000F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2" authorId="0" shapeId="0" xr:uid="{00000000-0006-0000-0200-0000F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3" authorId="0" shapeId="0" xr:uid="{00000000-0006-0000-0200-0000F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3" authorId="0" shapeId="0" xr:uid="{00000000-0006-0000-0200-0000F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4" authorId="0" shapeId="0" xr:uid="{00000000-0006-0000-0200-0000F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4" authorId="0" shapeId="0" xr:uid="{00000000-0006-0000-0200-0000F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5" authorId="0" shapeId="0" xr:uid="{00000000-0006-0000-0200-0000F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5" authorId="0" shapeId="0" xr:uid="{00000000-0006-0000-0200-0000F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6" authorId="0" shapeId="0" xr:uid="{00000000-0006-0000-0200-0000F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6" authorId="0" shapeId="0" xr:uid="{00000000-0006-0000-0200-0000F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7" authorId="0" shapeId="0" xr:uid="{00000000-0006-0000-0200-0000F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7" authorId="0" shapeId="0" xr:uid="{00000000-0006-0000-0200-0000F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8" authorId="0" shapeId="0" xr:uid="{00000000-0006-0000-0200-0000F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8" authorId="0" shapeId="0" xr:uid="{00000000-0006-0000-0200-0000F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9" authorId="0" shapeId="0" xr:uid="{00000000-0006-0000-0200-0000F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9" authorId="0" shapeId="0" xr:uid="{00000000-0006-0000-0200-0000F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0" authorId="0" shapeId="0" xr:uid="{00000000-0006-0000-0200-000000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0" authorId="0" shapeId="0" xr:uid="{00000000-0006-0000-0200-000001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1" authorId="0" shapeId="0" xr:uid="{00000000-0006-0000-0200-000002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1" authorId="0" shapeId="0" xr:uid="{00000000-0006-0000-0200-000003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2" authorId="0" shapeId="0" xr:uid="{00000000-0006-0000-0200-000004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2" authorId="0" shapeId="0" xr:uid="{00000000-0006-0000-0200-000005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3" authorId="0" shapeId="0" xr:uid="{00000000-0006-0000-0200-000006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3" authorId="0" shapeId="0" xr:uid="{00000000-0006-0000-0200-000007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4" authorId="0" shapeId="0" xr:uid="{00000000-0006-0000-0200-000008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4" authorId="0" shapeId="0" xr:uid="{00000000-0006-0000-0200-000009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5" authorId="0" shapeId="0" xr:uid="{00000000-0006-0000-0200-00000A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5" authorId="0" shapeId="0" xr:uid="{00000000-0006-0000-0200-00000B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K445" authorId="0" shapeId="0" xr:uid="{00000000-0006-0000-0200-00000C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Принято по данным ежегодного обзора итогов работы цементной промышленности России. 
Источник: Журнал "Цемент  и его применение" (статья "Цементная промышленность России в 2019 году")</t>
        </r>
      </text>
    </comment>
    <comment ref="E446" authorId="0" shapeId="0" xr:uid="{00000000-0006-0000-0200-00000D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6" authorId="0" shapeId="0" xr:uid="{00000000-0006-0000-0200-00000E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7" authorId="0" shapeId="0" xr:uid="{00000000-0006-0000-0200-00000F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7" authorId="0" shapeId="0" xr:uid="{00000000-0006-0000-0200-000010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8" authorId="0" shapeId="0" xr:uid="{00000000-0006-0000-0200-000011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8" authorId="0" shapeId="0" xr:uid="{00000000-0006-0000-0200-000012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9" authorId="0" shapeId="0" xr:uid="{00000000-0006-0000-0200-000013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9" authorId="0" shapeId="0" xr:uid="{00000000-0006-0000-0200-000014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0" authorId="0" shapeId="0" xr:uid="{00000000-0006-0000-0200-000015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0" authorId="0" shapeId="0" xr:uid="{00000000-0006-0000-0200-000016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K450" authorId="0" shapeId="0" xr:uid="{00000000-0006-0000-0200-000017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С учетом выбросов ПГ при производстве клинкера</t>
        </r>
      </text>
    </comment>
    <comment ref="E451" authorId="0" shapeId="0" xr:uid="{00000000-0006-0000-0200-000018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1" authorId="0" shapeId="0" xr:uid="{00000000-0006-0000-0200-000019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2" authorId="0" shapeId="0" xr:uid="{00000000-0006-0000-0200-00001A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Stagnation, Sanctions, Self-Sufsiciency</t>
        </r>
      </text>
    </comment>
    <comment ref="F452" authorId="0" shapeId="0" xr:uid="{00000000-0006-0000-0200-00001B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Низкие: менее 1,5% в год.</t>
        </r>
      </text>
    </comment>
    <comment ref="F453" authorId="0" shapeId="0" xr:uid="{00000000-0006-0000-0200-00001C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4" authorId="0" shapeId="0" xr:uid="{00000000-0006-0000-0200-00001D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4" authorId="0" shapeId="0" xr:uid="{00000000-0006-0000-0200-00001E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5" authorId="0" shapeId="0" xr:uid="{00000000-0006-0000-0200-00001F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5" authorId="0" shapeId="0" xr:uid="{00000000-0006-0000-0200-000020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6" authorId="0" shapeId="0" xr:uid="{00000000-0006-0000-0200-000021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6" authorId="0" shapeId="0" xr:uid="{00000000-0006-0000-0200-000022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7" authorId="0" shapeId="0" xr:uid="{00000000-0006-0000-0200-000023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7" authorId="0" shapeId="0" xr:uid="{00000000-0006-0000-0200-000024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8" authorId="0" shapeId="0" xr:uid="{00000000-0006-0000-0200-000025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8" authorId="0" shapeId="0" xr:uid="{00000000-0006-0000-0200-000026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9" authorId="0" shapeId="0" xr:uid="{00000000-0006-0000-0200-000027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9" authorId="0" shapeId="0" xr:uid="{00000000-0006-0000-0200-000028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0" authorId="0" shapeId="0" xr:uid="{00000000-0006-0000-0200-000029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0" authorId="0" shapeId="0" xr:uid="{00000000-0006-0000-0200-00002A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1" authorId="0" shapeId="0" xr:uid="{00000000-0006-0000-0200-00002B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1" authorId="0" shapeId="0" xr:uid="{00000000-0006-0000-0200-00002C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2" authorId="0" shapeId="0" xr:uid="{00000000-0006-0000-0200-00002D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2" authorId="0" shapeId="0" xr:uid="{00000000-0006-0000-0200-00002E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3" authorId="0" shapeId="0" xr:uid="{00000000-0006-0000-0200-00002F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3" authorId="0" shapeId="0" xr:uid="{00000000-0006-0000-0200-000030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4" authorId="0" shapeId="0" xr:uid="{00000000-0006-0000-0200-000031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4" authorId="0" shapeId="0" xr:uid="{00000000-0006-0000-0200-000032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5" authorId="0" shapeId="0" xr:uid="{00000000-0006-0000-0200-000033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5" authorId="0" shapeId="0" xr:uid="{00000000-0006-0000-0200-000034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6" authorId="0" shapeId="0" xr:uid="{00000000-0006-0000-0200-000035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6" authorId="0" shapeId="0" xr:uid="{00000000-0006-0000-0200-000036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7" authorId="0" shapeId="0" xr:uid="{00000000-0006-0000-0200-000037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7" authorId="0" shapeId="0" xr:uid="{00000000-0006-0000-0200-000038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8" authorId="0" shapeId="0" xr:uid="{00000000-0006-0000-0200-000039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8" authorId="0" shapeId="0" xr:uid="{00000000-0006-0000-0200-00003A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Konstantin B. Borisov</author>
  </authors>
  <commentList>
    <comment ref="F3" authorId="0" shapeId="0" xr:uid="{00000000-0006-0000-0300-00000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Высокие: не менее 2,5% в год.
Умеренные: от 1,5% до 2,5% в год.
Низкие: менее 1,5% в год.</t>
        </r>
      </text>
    </comment>
    <comment ref="G262" authorId="0" shapeId="0" xr:uid="{00000000-0006-0000-0300-00000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3" authorId="0" shapeId="0" xr:uid="{00000000-0006-0000-0300-00000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4" authorId="0" shapeId="0" xr:uid="{00000000-0006-0000-0300-00000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5" authorId="0" shapeId="0" xr:uid="{00000000-0006-0000-0300-00000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I265" authorId="0" shapeId="0" xr:uid="{00000000-0006-0000-0300-00000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Включая строительство</t>
        </r>
      </text>
    </comment>
    <comment ref="G266" authorId="0" shapeId="0" xr:uid="{00000000-0006-0000-0300-00000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7" authorId="0" shapeId="0" xr:uid="{00000000-0006-0000-0300-00000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I267" authorId="0" shapeId="0" xr:uid="{00000000-0006-0000-0300-00000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Включая строительство</t>
        </r>
      </text>
    </comment>
    <comment ref="G268" authorId="0" shapeId="0" xr:uid="{00000000-0006-0000-0300-00000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69" authorId="0" shapeId="0" xr:uid="{00000000-0006-0000-0300-00000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0" authorId="0" shapeId="0" xr:uid="{00000000-0006-0000-0300-00000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1" authorId="0" shapeId="0" xr:uid="{00000000-0006-0000-0300-00000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2" authorId="0" shapeId="0" xr:uid="{00000000-0006-0000-0300-00000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3" authorId="0" shapeId="0" xr:uid="{00000000-0006-0000-0300-00000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4" authorId="0" shapeId="0" xr:uid="{00000000-0006-0000-0300-00001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5" authorId="0" shapeId="0" xr:uid="{00000000-0006-0000-0300-00001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6" authorId="0" shapeId="0" xr:uid="{00000000-0006-0000-0300-00001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7" authorId="0" shapeId="0" xr:uid="{00000000-0006-0000-0300-00001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8" authorId="0" shapeId="0" xr:uid="{00000000-0006-0000-0300-00001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79" authorId="0" shapeId="0" xr:uid="{00000000-0006-0000-0300-00001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0" authorId="0" shapeId="0" xr:uid="{00000000-0006-0000-0300-00001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1" authorId="0" shapeId="0" xr:uid="{00000000-0006-0000-0300-00001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2" authorId="0" shapeId="0" xr:uid="{00000000-0006-0000-0300-00001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3" authorId="0" shapeId="0" xr:uid="{00000000-0006-0000-0300-00001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4" authorId="0" shapeId="0" xr:uid="{00000000-0006-0000-0300-00001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5" authorId="0" shapeId="0" xr:uid="{00000000-0006-0000-0300-00001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6" authorId="0" shapeId="0" xr:uid="{00000000-0006-0000-0300-00001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7" authorId="0" shapeId="0" xr:uid="{00000000-0006-0000-0300-00001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8" authorId="0" shapeId="0" xr:uid="{00000000-0006-0000-0300-00001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89" authorId="0" shapeId="0" xr:uid="{00000000-0006-0000-0300-00001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0" authorId="0" shapeId="0" xr:uid="{00000000-0006-0000-0300-00002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1" authorId="0" shapeId="0" xr:uid="{00000000-0006-0000-0300-00002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2" authorId="0" shapeId="0" xr:uid="{00000000-0006-0000-0300-00002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3" authorId="0" shapeId="0" xr:uid="{00000000-0006-0000-0300-00002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4" authorId="0" shapeId="0" xr:uid="{00000000-0006-0000-0300-00002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5" authorId="0" shapeId="0" xr:uid="{00000000-0006-0000-0300-00002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6" authorId="0" shapeId="0" xr:uid="{00000000-0006-0000-0300-00002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7" authorId="0" shapeId="0" xr:uid="{00000000-0006-0000-0300-00002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8" authorId="0" shapeId="0" xr:uid="{00000000-0006-0000-0300-00002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299" authorId="0" shapeId="0" xr:uid="{00000000-0006-0000-0300-00002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300" authorId="0" shapeId="0" xr:uid="{00000000-0006-0000-0300-00002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301" authorId="0" shapeId="0" xr:uid="{00000000-0006-0000-0300-00002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302" authorId="0" shapeId="0" xr:uid="{00000000-0006-0000-0300-00002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303" authorId="0" shapeId="0" xr:uid="{00000000-0006-0000-0300-00002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G304" authorId="0" shapeId="0" xr:uid="{00000000-0006-0000-0300-00002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05" authorId="0" shapeId="0" xr:uid="{00000000-0006-0000-0300-00002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06" authorId="0" shapeId="0" xr:uid="{00000000-0006-0000-0300-00003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06" authorId="0" shapeId="0" xr:uid="{00000000-0006-0000-0300-00003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07" authorId="0" shapeId="0" xr:uid="{00000000-0006-0000-0300-00003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08" authorId="0" shapeId="0" xr:uid="{00000000-0006-0000-0300-00003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08" authorId="0" shapeId="0" xr:uid="{00000000-0006-0000-0300-00003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09" authorId="0" shapeId="0" xr:uid="{00000000-0006-0000-0300-00003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10" authorId="0" shapeId="0" xr:uid="{00000000-0006-0000-0300-00003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10" authorId="0" shapeId="0" xr:uid="{00000000-0006-0000-0300-00003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11" authorId="0" shapeId="0" xr:uid="{00000000-0006-0000-0300-00003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12" authorId="0" shapeId="0" xr:uid="{00000000-0006-0000-0300-00003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12" authorId="0" shapeId="0" xr:uid="{00000000-0006-0000-0300-00003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13" authorId="0" shapeId="0" xr:uid="{00000000-0006-0000-0300-00003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14" authorId="0" shapeId="0" xr:uid="{00000000-0006-0000-0300-00003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14" authorId="0" shapeId="0" xr:uid="{00000000-0006-0000-0300-00003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15" authorId="0" shapeId="0" xr:uid="{00000000-0006-0000-0300-00003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16" authorId="0" shapeId="0" xr:uid="{00000000-0006-0000-0300-00003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16" authorId="0" shapeId="0" xr:uid="{00000000-0006-0000-0300-00004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17" authorId="0" shapeId="0" xr:uid="{00000000-0006-0000-0300-00004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18" authorId="0" shapeId="0" xr:uid="{00000000-0006-0000-0300-00004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18" authorId="0" shapeId="0" xr:uid="{00000000-0006-0000-0300-00004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19" authorId="0" shapeId="0" xr:uid="{00000000-0006-0000-0300-00004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20" authorId="0" shapeId="0" xr:uid="{00000000-0006-0000-0300-00004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20" authorId="0" shapeId="0" xr:uid="{00000000-0006-0000-0300-00004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21" authorId="0" shapeId="0" xr:uid="{00000000-0006-0000-0300-00004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22" authorId="0" shapeId="0" xr:uid="{00000000-0006-0000-0300-00004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22" authorId="0" shapeId="0" xr:uid="{00000000-0006-0000-0300-00004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23" authorId="0" shapeId="0" xr:uid="{00000000-0006-0000-0300-00004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24" authorId="0" shapeId="0" xr:uid="{00000000-0006-0000-0300-00004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24" authorId="0" shapeId="0" xr:uid="{00000000-0006-0000-0300-00004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25" authorId="0" shapeId="0" xr:uid="{00000000-0006-0000-0300-00004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26" authorId="0" shapeId="0" xr:uid="{00000000-0006-0000-0300-00004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26" authorId="0" shapeId="0" xr:uid="{00000000-0006-0000-0300-00004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27" authorId="0" shapeId="0" xr:uid="{00000000-0006-0000-0300-00005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28" authorId="0" shapeId="0" xr:uid="{00000000-0006-0000-0300-00005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28" authorId="0" shapeId="0" xr:uid="{00000000-0006-0000-0300-00005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29" authorId="0" shapeId="0" xr:uid="{00000000-0006-0000-0300-00005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30" authorId="0" shapeId="0" xr:uid="{00000000-0006-0000-0300-00005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30" authorId="0" shapeId="0" xr:uid="{00000000-0006-0000-0300-00005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31" authorId="0" shapeId="0" xr:uid="{00000000-0006-0000-0300-00005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32" authorId="0" shapeId="0" xr:uid="{00000000-0006-0000-0300-00005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32" authorId="0" shapeId="0" xr:uid="{00000000-0006-0000-0300-00005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33" authorId="0" shapeId="0" xr:uid="{00000000-0006-0000-0300-00005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34" authorId="0" shapeId="0" xr:uid="{00000000-0006-0000-0300-00005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34" authorId="0" shapeId="0" xr:uid="{00000000-0006-0000-0300-00005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35" authorId="0" shapeId="0" xr:uid="{00000000-0006-0000-0300-00005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36" authorId="0" shapeId="0" xr:uid="{00000000-0006-0000-0300-00005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36" authorId="0" shapeId="0" xr:uid="{00000000-0006-0000-0300-00005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37" authorId="0" shapeId="0" xr:uid="{00000000-0006-0000-0300-00005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38" authorId="0" shapeId="0" xr:uid="{00000000-0006-0000-0300-00006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38" authorId="0" shapeId="0" xr:uid="{00000000-0006-0000-0300-00006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39" authorId="0" shapeId="0" xr:uid="{00000000-0006-0000-0300-00006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40" authorId="0" shapeId="0" xr:uid="{00000000-0006-0000-0300-00006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40" authorId="0" shapeId="0" xr:uid="{00000000-0006-0000-0300-00006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41" authorId="0" shapeId="0" xr:uid="{00000000-0006-0000-0300-00006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42" authorId="0" shapeId="0" xr:uid="{00000000-0006-0000-0300-00006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42" authorId="0" shapeId="0" xr:uid="{00000000-0006-0000-0300-00006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43" authorId="0" shapeId="0" xr:uid="{00000000-0006-0000-0300-00006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44" authorId="0" shapeId="0" xr:uid="{00000000-0006-0000-0300-00006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44" authorId="0" shapeId="0" xr:uid="{00000000-0006-0000-0300-00006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45" authorId="0" shapeId="0" xr:uid="{00000000-0006-0000-0300-00006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46" authorId="0" shapeId="0" xr:uid="{00000000-0006-0000-0300-00006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46" authorId="0" shapeId="0" xr:uid="{00000000-0006-0000-0300-00006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47" authorId="0" shapeId="0" xr:uid="{00000000-0006-0000-0300-00006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48" authorId="0" shapeId="0" xr:uid="{00000000-0006-0000-0300-00006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48" authorId="0" shapeId="0" xr:uid="{00000000-0006-0000-0300-00007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49" authorId="0" shapeId="0" xr:uid="{00000000-0006-0000-0300-00007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50" authorId="0" shapeId="0" xr:uid="{00000000-0006-0000-0300-00007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50" authorId="0" shapeId="0" xr:uid="{00000000-0006-0000-0300-00007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51" authorId="0" shapeId="0" xr:uid="{00000000-0006-0000-0300-00007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52" authorId="0" shapeId="0" xr:uid="{00000000-0006-0000-0300-00007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52" authorId="0" shapeId="0" xr:uid="{00000000-0006-0000-0300-00007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53" authorId="0" shapeId="0" xr:uid="{00000000-0006-0000-0300-00007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54" authorId="0" shapeId="0" xr:uid="{00000000-0006-0000-0300-00007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54" authorId="0" shapeId="0" xr:uid="{00000000-0006-0000-0300-00007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55" authorId="0" shapeId="0" xr:uid="{00000000-0006-0000-0300-00007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56" authorId="0" shapeId="0" xr:uid="{00000000-0006-0000-0300-00007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56" authorId="0" shapeId="0" xr:uid="{00000000-0006-0000-0300-00007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57" authorId="0" shapeId="0" xr:uid="{00000000-0006-0000-0300-00007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58" authorId="0" shapeId="0" xr:uid="{00000000-0006-0000-0300-00007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58" authorId="0" shapeId="0" xr:uid="{00000000-0006-0000-0300-00007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59" authorId="0" shapeId="0" xr:uid="{00000000-0006-0000-0300-00008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60" authorId="0" shapeId="0" xr:uid="{00000000-0006-0000-0300-00008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60" authorId="0" shapeId="0" xr:uid="{00000000-0006-0000-0300-00008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61" authorId="0" shapeId="0" xr:uid="{00000000-0006-0000-0300-00008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62" authorId="0" shapeId="0" xr:uid="{00000000-0006-0000-0300-00008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62" authorId="0" shapeId="0" xr:uid="{00000000-0006-0000-0300-00008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63" authorId="0" shapeId="0" xr:uid="{00000000-0006-0000-0300-00008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64" authorId="0" shapeId="0" xr:uid="{00000000-0006-0000-0300-00008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64" authorId="0" shapeId="0" xr:uid="{00000000-0006-0000-0300-00008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65" authorId="0" shapeId="0" xr:uid="{00000000-0006-0000-0300-00008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66" authorId="0" shapeId="0" xr:uid="{00000000-0006-0000-0300-00008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66" authorId="0" shapeId="0" xr:uid="{00000000-0006-0000-0300-00008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67" authorId="0" shapeId="0" xr:uid="{00000000-0006-0000-0300-00008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68" authorId="0" shapeId="0" xr:uid="{00000000-0006-0000-0300-00008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68" authorId="0" shapeId="0" xr:uid="{00000000-0006-0000-0300-00008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69" authorId="0" shapeId="0" xr:uid="{00000000-0006-0000-0300-00008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70" authorId="0" shapeId="0" xr:uid="{00000000-0006-0000-0300-00009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70" authorId="0" shapeId="0" xr:uid="{00000000-0006-0000-0300-00009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71" authorId="0" shapeId="0" xr:uid="{00000000-0006-0000-0300-00009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72" authorId="0" shapeId="0" xr:uid="{00000000-0006-0000-0300-00009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72" authorId="0" shapeId="0" xr:uid="{00000000-0006-0000-0300-00009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73" authorId="0" shapeId="0" xr:uid="{00000000-0006-0000-0300-00009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74" authorId="0" shapeId="0" xr:uid="{00000000-0006-0000-0300-00009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74" authorId="0" shapeId="0" xr:uid="{00000000-0006-0000-0300-00009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75" authorId="0" shapeId="0" xr:uid="{00000000-0006-0000-0300-00009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76" authorId="0" shapeId="0" xr:uid="{00000000-0006-0000-0300-00009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76" authorId="0" shapeId="0" xr:uid="{00000000-0006-0000-0300-00009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77" authorId="0" shapeId="0" xr:uid="{00000000-0006-0000-0300-00009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78" authorId="0" shapeId="0" xr:uid="{00000000-0006-0000-0300-00009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78" authorId="0" shapeId="0" xr:uid="{00000000-0006-0000-0300-00009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79" authorId="0" shapeId="0" xr:uid="{00000000-0006-0000-0300-00009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80" authorId="0" shapeId="0" xr:uid="{00000000-0006-0000-0300-00009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80" authorId="0" shapeId="0" xr:uid="{00000000-0006-0000-0300-0000A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81" authorId="0" shapeId="0" xr:uid="{00000000-0006-0000-0300-0000A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82" authorId="0" shapeId="0" xr:uid="{00000000-0006-0000-0300-0000A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82" authorId="0" shapeId="0" xr:uid="{00000000-0006-0000-0300-0000A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83" authorId="0" shapeId="0" xr:uid="{00000000-0006-0000-0300-0000A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84" authorId="0" shapeId="0" xr:uid="{00000000-0006-0000-0300-0000A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84" authorId="0" shapeId="0" xr:uid="{00000000-0006-0000-0300-0000A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85" authorId="0" shapeId="0" xr:uid="{00000000-0006-0000-0300-0000A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86" authorId="0" shapeId="0" xr:uid="{00000000-0006-0000-0300-0000A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86" authorId="0" shapeId="0" xr:uid="{00000000-0006-0000-0300-0000A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87" authorId="0" shapeId="0" xr:uid="{00000000-0006-0000-0300-0000A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88" authorId="0" shapeId="0" xr:uid="{00000000-0006-0000-0300-0000A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88" authorId="0" shapeId="0" xr:uid="{00000000-0006-0000-0300-0000A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89" authorId="0" shapeId="0" xr:uid="{00000000-0006-0000-0300-0000A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90" authorId="0" shapeId="0" xr:uid="{00000000-0006-0000-0300-0000A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90" authorId="0" shapeId="0" xr:uid="{00000000-0006-0000-0300-0000A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91" authorId="0" shapeId="0" xr:uid="{00000000-0006-0000-0300-0000B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92" authorId="0" shapeId="0" xr:uid="{00000000-0006-0000-0300-0000B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92" authorId="0" shapeId="0" xr:uid="{00000000-0006-0000-0300-0000B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93" authorId="0" shapeId="0" xr:uid="{00000000-0006-0000-0300-0000B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94" authorId="0" shapeId="0" xr:uid="{00000000-0006-0000-0300-0000B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94" authorId="0" shapeId="0" xr:uid="{00000000-0006-0000-0300-0000B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95" authorId="0" shapeId="0" xr:uid="{00000000-0006-0000-0300-0000B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96" authorId="0" shapeId="0" xr:uid="{00000000-0006-0000-0300-0000B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96" authorId="0" shapeId="0" xr:uid="{00000000-0006-0000-0300-0000B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97" authorId="0" shapeId="0" xr:uid="{00000000-0006-0000-0300-0000B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398" authorId="0" shapeId="0" xr:uid="{00000000-0006-0000-0300-0000B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398" authorId="0" shapeId="0" xr:uid="{00000000-0006-0000-0300-0000B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399" authorId="0" shapeId="0" xr:uid="{00000000-0006-0000-0300-0000B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00" authorId="0" shapeId="0" xr:uid="{00000000-0006-0000-0300-0000B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00" authorId="0" shapeId="0" xr:uid="{00000000-0006-0000-0300-0000B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01" authorId="0" shapeId="0" xr:uid="{00000000-0006-0000-0300-0000B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02" authorId="0" shapeId="0" xr:uid="{00000000-0006-0000-0300-0000C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02" authorId="0" shapeId="0" xr:uid="{00000000-0006-0000-0300-0000C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03" authorId="0" shapeId="0" xr:uid="{00000000-0006-0000-0300-0000C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04" authorId="0" shapeId="0" xr:uid="{00000000-0006-0000-0300-0000C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04" authorId="0" shapeId="0" xr:uid="{00000000-0006-0000-0300-0000C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05" authorId="0" shapeId="0" xr:uid="{00000000-0006-0000-0300-0000C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06" authorId="0" shapeId="0" xr:uid="{00000000-0006-0000-0300-0000C6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06" authorId="0" shapeId="0" xr:uid="{00000000-0006-0000-0300-0000C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07" authorId="0" shapeId="0" xr:uid="{00000000-0006-0000-0300-0000C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08" authorId="0" shapeId="0" xr:uid="{00000000-0006-0000-0300-0000C9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08" authorId="0" shapeId="0" xr:uid="{00000000-0006-0000-0300-0000C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09" authorId="0" shapeId="0" xr:uid="{00000000-0006-0000-0300-0000C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10" authorId="0" shapeId="0" xr:uid="{00000000-0006-0000-0300-0000CC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10" authorId="0" shapeId="0" xr:uid="{00000000-0006-0000-0300-0000C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11" authorId="0" shapeId="0" xr:uid="{00000000-0006-0000-0300-0000C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12" authorId="0" shapeId="0" xr:uid="{00000000-0006-0000-0300-0000CF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12" authorId="0" shapeId="0" xr:uid="{00000000-0006-0000-0300-0000D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13" authorId="0" shapeId="0" xr:uid="{00000000-0006-0000-0300-0000D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14" authorId="0" shapeId="0" xr:uid="{00000000-0006-0000-0300-0000D2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14" authorId="0" shapeId="0" xr:uid="{00000000-0006-0000-0300-0000D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15" authorId="0" shapeId="0" xr:uid="{00000000-0006-0000-0300-0000D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16" authorId="0" shapeId="0" xr:uid="{00000000-0006-0000-0300-0000D5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16" authorId="0" shapeId="0" xr:uid="{00000000-0006-0000-0300-0000D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17" authorId="0" shapeId="0" xr:uid="{00000000-0006-0000-0300-0000D7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18" authorId="0" shapeId="0" xr:uid="{00000000-0006-0000-0300-0000D8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18" authorId="0" shapeId="0" xr:uid="{00000000-0006-0000-0300-0000D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19" authorId="0" shapeId="0" xr:uid="{00000000-0006-0000-0300-0000DA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20" authorId="0" shapeId="0" xr:uid="{00000000-0006-0000-0300-0000DB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20" authorId="0" shapeId="0" xr:uid="{00000000-0006-0000-0300-0000D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21" authorId="0" shapeId="0" xr:uid="{00000000-0006-0000-0300-0000DD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22" authorId="0" shapeId="0" xr:uid="{00000000-0006-0000-0300-0000DE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22" authorId="0" shapeId="0" xr:uid="{00000000-0006-0000-0300-0000D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23" authorId="0" shapeId="0" xr:uid="{00000000-0006-0000-0300-0000E0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24" authorId="0" shapeId="0" xr:uid="{00000000-0006-0000-0300-0000E1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24" authorId="0" shapeId="0" xr:uid="{00000000-0006-0000-0300-0000E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A425" authorId="0" shapeId="0" xr:uid="{00000000-0006-0000-0300-0000E3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A426" authorId="0" shapeId="0" xr:uid="{00000000-0006-0000-0300-0000E4000000}">
      <text>
        <r>
          <rPr>
            <b/>
            <sz val="9"/>
            <rFont val="Tahoma"/>
            <charset val="134"/>
          </rPr>
          <t>Konstantin B. Borisov:</t>
        </r>
        <r>
          <rPr>
            <sz val="9"/>
            <rFont val="Tahoma"/>
            <charset val="134"/>
          </rPr>
          <t xml:space="preserve">
Отчет "Создание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уровня".</t>
        </r>
      </text>
    </comment>
    <comment ref="G426" authorId="0" shapeId="0" xr:uid="{00000000-0006-0000-0300-0000E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Реализация текущих мер + принятие дополнительных активных мер по декарбонизаации экономики России</t>
        </r>
      </text>
    </comment>
    <comment ref="E427" authorId="0" shapeId="0" xr:uid="{00000000-0006-0000-0300-0000E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27" authorId="0" shapeId="0" xr:uid="{00000000-0006-0000-0300-0000E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28" authorId="0" shapeId="0" xr:uid="{00000000-0006-0000-0300-0000E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Stagnation, Sanctions, Self-Sufficiency</t>
        </r>
      </text>
    </comment>
    <comment ref="F428" authorId="0" shapeId="0" xr:uid="{00000000-0006-0000-0300-0000E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Низкие: менее 1,5% в год.</t>
        </r>
      </text>
    </comment>
    <comment ref="E429" authorId="0" shapeId="0" xr:uid="{00000000-0006-0000-0300-0000E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29" authorId="0" shapeId="0" xr:uid="{00000000-0006-0000-0300-0000E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0" authorId="0" shapeId="0" xr:uid="{00000000-0006-0000-0300-0000E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0" authorId="0" shapeId="0" xr:uid="{00000000-0006-0000-0300-0000E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1" authorId="0" shapeId="0" xr:uid="{00000000-0006-0000-0300-0000E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1" authorId="0" shapeId="0" xr:uid="{00000000-0006-0000-0300-0000E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2" authorId="0" shapeId="0" xr:uid="{00000000-0006-0000-0300-0000F0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2" authorId="0" shapeId="0" xr:uid="{00000000-0006-0000-0300-0000F1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3" authorId="0" shapeId="0" xr:uid="{00000000-0006-0000-0300-0000F2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3" authorId="0" shapeId="0" xr:uid="{00000000-0006-0000-0300-0000F3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4" authorId="0" shapeId="0" xr:uid="{00000000-0006-0000-0300-0000F4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4" authorId="0" shapeId="0" xr:uid="{00000000-0006-0000-0300-0000F5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5" authorId="0" shapeId="0" xr:uid="{00000000-0006-0000-0300-0000F6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5" authorId="0" shapeId="0" xr:uid="{00000000-0006-0000-0300-0000F7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6" authorId="0" shapeId="0" xr:uid="{00000000-0006-0000-0300-0000F8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6" authorId="0" shapeId="0" xr:uid="{00000000-0006-0000-0300-0000F9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7" authorId="0" shapeId="0" xr:uid="{00000000-0006-0000-0300-0000FA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7" authorId="0" shapeId="0" xr:uid="{00000000-0006-0000-0300-0000FB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8" authorId="0" shapeId="0" xr:uid="{00000000-0006-0000-0300-0000FC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8" authorId="0" shapeId="0" xr:uid="{00000000-0006-0000-0300-0000FD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39" authorId="0" shapeId="0" xr:uid="{00000000-0006-0000-0300-0000FE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39" authorId="0" shapeId="0" xr:uid="{00000000-0006-0000-0300-0000FF00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0" authorId="0" shapeId="0" xr:uid="{00000000-0006-0000-0300-000000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0" authorId="0" shapeId="0" xr:uid="{00000000-0006-0000-0300-000001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1" authorId="0" shapeId="0" xr:uid="{00000000-0006-0000-0300-000002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1" authorId="0" shapeId="0" xr:uid="{00000000-0006-0000-0300-000003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2" authorId="0" shapeId="0" xr:uid="{00000000-0006-0000-0300-000004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2" authorId="0" shapeId="0" xr:uid="{00000000-0006-0000-0300-000005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3" authorId="0" shapeId="0" xr:uid="{00000000-0006-0000-0300-000006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3" authorId="0" shapeId="0" xr:uid="{00000000-0006-0000-0300-000007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4" authorId="0" shapeId="0" xr:uid="{00000000-0006-0000-0300-000008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4" authorId="0" shapeId="0" xr:uid="{00000000-0006-0000-0300-000009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K444" authorId="0" shapeId="0" xr:uid="{00000000-0006-0000-0300-00000A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Принято по данным ежегодного обзора итогов работы цементной промышленности России. 
Источник: Журнал "Цемент  и его применение" (статья "Цементная промышленность России в 2019 году")</t>
        </r>
      </text>
    </comment>
    <comment ref="E445" authorId="0" shapeId="0" xr:uid="{00000000-0006-0000-0300-00000B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5" authorId="0" shapeId="0" xr:uid="{00000000-0006-0000-0300-00000C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6" authorId="0" shapeId="0" xr:uid="{00000000-0006-0000-0300-00000D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6" authorId="0" shapeId="0" xr:uid="{00000000-0006-0000-0300-00000E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7" authorId="0" shapeId="0" xr:uid="{00000000-0006-0000-0300-00000F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7" authorId="0" shapeId="0" xr:uid="{00000000-0006-0000-0300-000010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8" authorId="0" shapeId="0" xr:uid="{00000000-0006-0000-0300-000011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8" authorId="0" shapeId="0" xr:uid="{00000000-0006-0000-0300-000012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49" authorId="0" shapeId="0" xr:uid="{00000000-0006-0000-0300-000013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49" authorId="0" shapeId="0" xr:uid="{00000000-0006-0000-0300-000014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K449" authorId="0" shapeId="0" xr:uid="{00000000-0006-0000-0300-000015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С учетом выбросов ПГ при производстве клинкера</t>
        </r>
      </text>
    </comment>
    <comment ref="E450" authorId="0" shapeId="0" xr:uid="{00000000-0006-0000-0300-000016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0" authorId="0" shapeId="0" xr:uid="{00000000-0006-0000-0300-000017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1" authorId="0" shapeId="0" xr:uid="{00000000-0006-0000-0300-000018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Stagnation, Sanctions, Self-Sufsiciency</t>
        </r>
      </text>
    </comment>
    <comment ref="F451" authorId="0" shapeId="0" xr:uid="{00000000-0006-0000-0300-000019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Низкие: менее 1,5% в год.</t>
        </r>
      </text>
    </comment>
    <comment ref="F452" authorId="0" shapeId="0" xr:uid="{00000000-0006-0000-0300-00001A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3" authorId="0" shapeId="0" xr:uid="{00000000-0006-0000-0300-00001B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3" authorId="0" shapeId="0" xr:uid="{00000000-0006-0000-0300-00001C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4" authorId="0" shapeId="0" xr:uid="{00000000-0006-0000-0300-00001D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4" authorId="0" shapeId="0" xr:uid="{00000000-0006-0000-0300-00001E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5" authorId="0" shapeId="0" xr:uid="{00000000-0006-0000-0300-00001F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5" authorId="0" shapeId="0" xr:uid="{00000000-0006-0000-0300-000020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6" authorId="0" shapeId="0" xr:uid="{00000000-0006-0000-0300-000021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6" authorId="0" shapeId="0" xr:uid="{00000000-0006-0000-0300-000022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7" authorId="0" shapeId="0" xr:uid="{00000000-0006-0000-0300-000023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7" authorId="0" shapeId="0" xr:uid="{00000000-0006-0000-0300-000024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8" authorId="0" shapeId="0" xr:uid="{00000000-0006-0000-0300-000025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8" authorId="0" shapeId="0" xr:uid="{00000000-0006-0000-0300-000026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59" authorId="0" shapeId="0" xr:uid="{00000000-0006-0000-0300-000027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59" authorId="0" shapeId="0" xr:uid="{00000000-0006-0000-0300-000028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0" authorId="0" shapeId="0" xr:uid="{00000000-0006-0000-0300-000029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0" authorId="0" shapeId="0" xr:uid="{00000000-0006-0000-0300-00002A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1" authorId="0" shapeId="0" xr:uid="{00000000-0006-0000-0300-00002B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1" authorId="0" shapeId="0" xr:uid="{00000000-0006-0000-0300-00002C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2" authorId="0" shapeId="0" xr:uid="{00000000-0006-0000-0300-00002D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2" authorId="0" shapeId="0" xr:uid="{00000000-0006-0000-0300-00002E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3" authorId="0" shapeId="0" xr:uid="{00000000-0006-0000-0300-00002F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3" authorId="0" shapeId="0" xr:uid="{00000000-0006-0000-0300-000030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4" authorId="0" shapeId="0" xr:uid="{00000000-0006-0000-0300-000031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4" authorId="0" shapeId="0" xr:uid="{00000000-0006-0000-0300-000032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5" authorId="0" shapeId="0" xr:uid="{00000000-0006-0000-0300-000033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5" authorId="0" shapeId="0" xr:uid="{00000000-0006-0000-0300-000034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6" authorId="0" shapeId="0" xr:uid="{00000000-0006-0000-0300-000035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6" authorId="0" shapeId="0" xr:uid="{00000000-0006-0000-0300-000036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  <comment ref="E467" authorId="0" shapeId="0" xr:uid="{00000000-0006-0000-0300-000037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Development Driven by Decarbonization and Democratization</t>
        </r>
      </text>
    </comment>
    <comment ref="F467" authorId="0" shapeId="0" xr:uid="{00000000-0006-0000-0300-000038010000}">
      <text>
        <r>
          <rPr>
            <b/>
            <sz val="9"/>
            <rFont val="Tahoma"/>
            <charset val="204"/>
          </rPr>
          <t>Konstantin B. Borisov:</t>
        </r>
        <r>
          <rPr>
            <sz val="9"/>
            <rFont val="Tahoma"/>
            <charset val="204"/>
          </rPr>
          <t xml:space="preserve">
Умеренные: от 1,5% до 2,5% в год.</t>
        </r>
      </text>
    </comment>
  </commentList>
</comments>
</file>

<file path=xl/sharedStrings.xml><?xml version="1.0" encoding="utf-8"?>
<sst xmlns="http://schemas.openxmlformats.org/spreadsheetml/2006/main" count="7000" uniqueCount="468">
  <si>
    <t>Прогнозы развития промышленности России на период до 2050-2060 гг.</t>
  </si>
  <si>
    <t>Москва 2026 г.</t>
  </si>
  <si>
    <t>Москва</t>
  </si>
  <si>
    <t xml:space="preserve">Разработчик    </t>
  </si>
  <si>
    <t>ООО "ЦЭНЭФ-XXI"</t>
  </si>
  <si>
    <t xml:space="preserve">Число прогнозов  </t>
  </si>
  <si>
    <t>Число сценариев</t>
  </si>
  <si>
    <t>да</t>
  </si>
  <si>
    <t xml:space="preserve">Дата последнего обновления   </t>
  </si>
  <si>
    <t>октябрь 2026 года</t>
  </si>
  <si>
    <t>нет</t>
  </si>
  <si>
    <t xml:space="preserve">Содержание </t>
  </si>
  <si>
    <t xml:space="preserve">Название </t>
  </si>
  <si>
    <t>листов</t>
  </si>
  <si>
    <t>Источники_Промышленность</t>
  </si>
  <si>
    <t>Прогнозы_Промышленность</t>
  </si>
  <si>
    <t>Прогнозы_Промышленность_2</t>
  </si>
  <si>
    <t>№ п/п</t>
  </si>
  <si>
    <t>Наименование источника</t>
  </si>
  <si>
    <t>Ссылка на источник</t>
  </si>
  <si>
    <t>Назад в оглавление</t>
  </si>
  <si>
    <t xml:space="preserve">Сводная стратегия развития обрабатывающей промышленности Российской Федерации до 2024 года и на период до 2035 года (утверждена распоряжением Правительства Российской Федерации от 6 июня 2020 года №1512-р) </t>
  </si>
  <si>
    <t>https://www.garant.ru/products/ipo/prime/doc/74142592/</t>
  </si>
  <si>
    <t xml:space="preserve">Стратегия развития металлургической промышленности Российской Федерации на период до 2030 года (утверждена распоряжением Правительства Российской Федерации от 28 декабря 2022 года №4260-р) </t>
  </si>
  <si>
    <t>https://www.garant.ru/products/ipo/prime/doc/405963845/</t>
  </si>
  <si>
    <t>Проект Стратегии развития химического и нефтехимического комплекса до 2024 г. и на период до 2035 г.</t>
  </si>
  <si>
    <t xml:space="preserve">Стратегия социально-экономического развития Российской Федерации с низким уровнем выбросов парниковых газов до 2050 года (утверждена распоряжением Правительства Российской Федерации от 28 октября 2021 года №3052-р) </t>
  </si>
  <si>
    <t>https://www.garant.ru/products/ipo/prime/doc/402894476/#1000</t>
  </si>
  <si>
    <t>План мероприятий (операционный план) реализации Стратегии социально-экономического развития Российской Федерции с низким уровнем выбросов парниковых газов</t>
  </si>
  <si>
    <t>https://decarbon.ru/wp-content/uploads/2022/09/2022-02-10-%D0%BF%D1%80%D0%BE%D0%B5%D0%BA%D1%82-%D0%9E%D0%BF%D0%B5%D1%80%D0%B0%D1%86%D0%B8%D0%BE%D0%BD%D0%BD%D1%8B%D0%B9-%D0%BF%D0%BB%D0%B0%D0%BD-%D0%A1%D0%9D%D0%A3%D0%A0-2050.pdf</t>
  </si>
  <si>
    <t>Отчет по ВИП ГЗ. «Экономика климата». 2024 г. Создание методики разработки сценариев и моделей оценки социально-экономических эффектов реализации климатической повестки и политики низкоуглеродного развития, а также мер по декарбонизации экономики, энергетики и промышленности на уровне стран и регионов мира, а также экономики и энергетики Российской Федерации, разработка мер адаптации населения и экономики Российской Федерации к изменениям климата федерального уровня (далее - Отчет по ВИП Г3 "Экономика климата")</t>
  </si>
  <si>
    <t>Разработка калькулятора для оценки углеродоемкости (бенчмаркинга) производства азотной кислоты в Российской Федерации</t>
  </si>
  <si>
    <t>Разработка калькулятора для оценки углеродоемкости (бенчмаркинга) производства аммиака в Российской Федерации</t>
  </si>
  <si>
    <t>Оценка углеродоемкости (бенчмаркинг) продукции минеральных неметаллических материалов (цемент) в Российской Федерации</t>
  </si>
  <si>
    <t>Движение России к углеродной нейтральности: развилки на дорожных картах</t>
  </si>
  <si>
    <t>https://cenef-xxi.ru/uploads/Roadmaps_46ea8e9def.pdf</t>
  </si>
  <si>
    <t>International Energy Outlook 2023</t>
  </si>
  <si>
    <t>Russian Economic Transformation: Navigating Climate Policy and Trade Restrictions</t>
  </si>
  <si>
    <t xml:space="preserve">Достижение Российской Федерацией «углеродной нейтральности» не позднее 2060 года </t>
  </si>
  <si>
    <t>Прогнозные значения основных показателей российских стратегий и программ развития для промышленного сектора экономики России на период 2020-2060 гг.</t>
  </si>
  <si>
    <t>Название документа</t>
  </si>
  <si>
    <t>Разработчик документа</t>
  </si>
  <si>
    <t>№ документа</t>
  </si>
  <si>
    <t>Год публикации документа</t>
  </si>
  <si>
    <t>Сценарий</t>
  </si>
  <si>
    <t>Темпы роста ВВП</t>
  </si>
  <si>
    <t>Меры по декарбонизации</t>
  </si>
  <si>
    <t>Цена на углерод в 2050-2060 гг.</t>
  </si>
  <si>
    <t>Наименование показателя</t>
  </si>
  <si>
    <t>Ед. изм.</t>
  </si>
  <si>
    <t>2019 г.</t>
  </si>
  <si>
    <t>Прогнозируемые значения</t>
  </si>
  <si>
    <t>2020 г.</t>
  </si>
  <si>
    <t>2021 г.</t>
  </si>
  <si>
    <t>2022 г.</t>
  </si>
  <si>
    <t>2023 г.</t>
  </si>
  <si>
    <t>2024 г.</t>
  </si>
  <si>
    <t>2025 г.</t>
  </si>
  <si>
    <t>2026 г.</t>
  </si>
  <si>
    <t>2027 г.</t>
  </si>
  <si>
    <t>2028 г.</t>
  </si>
  <si>
    <t>2029 г.</t>
  </si>
  <si>
    <t>2030 г.</t>
  </si>
  <si>
    <t>2031 г.</t>
  </si>
  <si>
    <t>2032 г.</t>
  </si>
  <si>
    <t>2033 г.</t>
  </si>
  <si>
    <t>2034 г.</t>
  </si>
  <si>
    <t>2035 г.</t>
  </si>
  <si>
    <t>2036 г.</t>
  </si>
  <si>
    <t>2037 г.</t>
  </si>
  <si>
    <t>2038 г.</t>
  </si>
  <si>
    <t>2039 г.</t>
  </si>
  <si>
    <t>2040 г.</t>
  </si>
  <si>
    <t>2041 г.</t>
  </si>
  <si>
    <t>2042 г.</t>
  </si>
  <si>
    <t>2043 г.</t>
  </si>
  <si>
    <t>2044 г.</t>
  </si>
  <si>
    <t>2045 г.</t>
  </si>
  <si>
    <t>2046 г.</t>
  </si>
  <si>
    <t>2047 г.</t>
  </si>
  <si>
    <t>2048 г.</t>
  </si>
  <si>
    <t>2049 г.</t>
  </si>
  <si>
    <t>2050 г.</t>
  </si>
  <si>
    <t>2051 г.</t>
  </si>
  <si>
    <t>2052 г.</t>
  </si>
  <si>
    <t>2053 г.</t>
  </si>
  <si>
    <t>2054 г.</t>
  </si>
  <si>
    <t>2055 г.</t>
  </si>
  <si>
    <t>2056 г.</t>
  </si>
  <si>
    <t>2057 г.</t>
  </si>
  <si>
    <t>2058 г.</t>
  </si>
  <si>
    <t>2059 г.</t>
  </si>
  <si>
    <t>2060 г.</t>
  </si>
  <si>
    <t>Сводная стратегия развития обрабатывающей промышленности Российской Федерации до 2024 года и на период до 2035 года</t>
  </si>
  <si>
    <t>Минпромторг России</t>
  </si>
  <si>
    <t xml:space="preserve">№1512-р </t>
  </si>
  <si>
    <t>2020 год</t>
  </si>
  <si>
    <t>Индекс производства обрабатывающей промышленности по отношению к базовому 2019 году</t>
  </si>
  <si>
    <t>%</t>
  </si>
  <si>
    <t>Производство концентрата железорудного</t>
  </si>
  <si>
    <t>тыс. тонн</t>
  </si>
  <si>
    <t>Производство кокса металлургического</t>
  </si>
  <si>
    <t>Производство чугуна доменного</t>
  </si>
  <si>
    <t>Выплавка стали</t>
  </si>
  <si>
    <t>Производство проката черных металлов</t>
  </si>
  <si>
    <t>Производство труб стальных</t>
  </si>
  <si>
    <t>Производство алюминия</t>
  </si>
  <si>
    <t>Производство меди</t>
  </si>
  <si>
    <t>Производство никеля</t>
  </si>
  <si>
    <t>Производство цинка</t>
  </si>
  <si>
    <t>Производство свинца</t>
  </si>
  <si>
    <t>Производство магния</t>
  </si>
  <si>
    <t>Производство олова</t>
  </si>
  <si>
    <t>Производство аммиака</t>
  </si>
  <si>
    <t>Производство минеральных удобрений (всего), в том числе:</t>
  </si>
  <si>
    <t>Азотные удобрения</t>
  </si>
  <si>
    <t>Фосфорные удобрения</t>
  </si>
  <si>
    <t>Калийные удобрения</t>
  </si>
  <si>
    <t>Производство метанола</t>
  </si>
  <si>
    <t>Производство химических волокон</t>
  </si>
  <si>
    <t>Производство соды кальционированной</t>
  </si>
  <si>
    <t>Производство соды каустической</t>
  </si>
  <si>
    <t>Производство лакокрасочных материалов</t>
  </si>
  <si>
    <t>Производство шин</t>
  </si>
  <si>
    <t>тыс. ед.</t>
  </si>
  <si>
    <t>Производство крупнотоннажных пластмасс</t>
  </si>
  <si>
    <t>Производство полиэтилена</t>
  </si>
  <si>
    <t>Производство каучука синтетического</t>
  </si>
  <si>
    <t>Производство цемента</t>
  </si>
  <si>
    <t>Производство извести (гашеная, негашеная, гидравлическая)</t>
  </si>
  <si>
    <t>Производство бетона товарного</t>
  </si>
  <si>
    <r>
      <rPr>
        <sz val="10"/>
        <color theme="1"/>
        <rFont val="Times New Roman"/>
        <charset val="204"/>
      </rPr>
      <t>тыс. м</t>
    </r>
    <r>
      <rPr>
        <vertAlign val="superscript"/>
        <sz val="10"/>
        <color theme="1"/>
        <rFont val="Times New Roman"/>
        <charset val="204"/>
      </rPr>
      <t>3</t>
    </r>
  </si>
  <si>
    <t>Производство кирпича строительного</t>
  </si>
  <si>
    <t>млн усл кирпичей</t>
  </si>
  <si>
    <t>Производство стекла листового</t>
  </si>
  <si>
    <r>
      <rPr>
        <sz val="10"/>
        <color theme="1"/>
        <rFont val="Times New Roman"/>
        <charset val="204"/>
      </rPr>
      <t>тыс. м</t>
    </r>
    <r>
      <rPr>
        <vertAlign val="superscript"/>
        <sz val="10"/>
        <color theme="1"/>
        <rFont val="Times New Roman"/>
        <charset val="204"/>
      </rPr>
      <t>2</t>
    </r>
  </si>
  <si>
    <t>Производство гипса строительного</t>
  </si>
  <si>
    <t>Стратегия развития металлургической промышленности Российской Федерации на период до 2030 года</t>
  </si>
  <si>
    <t xml:space="preserve">№4260-р </t>
  </si>
  <si>
    <t>2022 год</t>
  </si>
  <si>
    <t>Консервативный</t>
  </si>
  <si>
    <t>млн тонн</t>
  </si>
  <si>
    <t>Базовый</t>
  </si>
  <si>
    <t>Потребление проката черных металлов</t>
  </si>
  <si>
    <t>Экспорт проката черных металлов</t>
  </si>
  <si>
    <t>Импорт проката черных металлов</t>
  </si>
  <si>
    <t>Потребление труб стальных</t>
  </si>
  <si>
    <t>Экспорт труб стальных</t>
  </si>
  <si>
    <t>Импорт труб стальных</t>
  </si>
  <si>
    <t>Потребление алюминия</t>
  </si>
  <si>
    <t>Экспорт алюминия</t>
  </si>
  <si>
    <t>Импорт алюминия</t>
  </si>
  <si>
    <t>тыс тонн</t>
  </si>
  <si>
    <t>Потребление меди</t>
  </si>
  <si>
    <t>Экспорт меди</t>
  </si>
  <si>
    <t>Импорт меди</t>
  </si>
  <si>
    <t>Потребление никеля</t>
  </si>
  <si>
    <t>Экспорт никеля</t>
  </si>
  <si>
    <t>Импорт никеля</t>
  </si>
  <si>
    <t>Потребление цинка</t>
  </si>
  <si>
    <t>Экспорт цинка</t>
  </si>
  <si>
    <t>Импорт цинка</t>
  </si>
  <si>
    <t>Потребление свинца</t>
  </si>
  <si>
    <t>Экспорт свинца</t>
  </si>
  <si>
    <t>Импорт свинца</t>
  </si>
  <si>
    <t>Российский союз химиков (РСХ), ОАО "НИИТЭХИМ"</t>
  </si>
  <si>
    <t>2022 год (подготовка проекта)</t>
  </si>
  <si>
    <t xml:space="preserve">Базовый (целевые значения ключевых показатей эффективности) </t>
  </si>
  <si>
    <t>Индекс производства продукции химического комплекса по отношению к базовому 2019 году</t>
  </si>
  <si>
    <t>Доля химического комплекса в структуре ВВП Российской Федерации</t>
  </si>
  <si>
    <t>Доля импорта в структуре потребления продукции продукции химического комплекса</t>
  </si>
  <si>
    <t>Индекс роста потребления продукции химической промышленности (к 2020 году)</t>
  </si>
  <si>
    <t>Потребление минеральных удобрений (в пересчете на 100% пит. веществ)</t>
  </si>
  <si>
    <t>кг/га</t>
  </si>
  <si>
    <t>Потребление химических волокон и нитей</t>
  </si>
  <si>
    <t>кг/чел</t>
  </si>
  <si>
    <t>Потребление лакокрасочных материалов</t>
  </si>
  <si>
    <t>Потребление изделий из пластмасс</t>
  </si>
  <si>
    <t>Потребление шин для легковых автомобилей</t>
  </si>
  <si>
    <t>шт/тыс. чел</t>
  </si>
  <si>
    <t>Потребление шин для грузовых автомобилей</t>
  </si>
  <si>
    <t>Технологическая мощность (аммиак)</t>
  </si>
  <si>
    <t>Потребление аммиака</t>
  </si>
  <si>
    <t>Экспорт аммиака</t>
  </si>
  <si>
    <t>Импорт аммиака</t>
  </si>
  <si>
    <t>Технологическая мощность (метанол)</t>
  </si>
  <si>
    <t>Потребление метанола</t>
  </si>
  <si>
    <t>Экспорт метанола</t>
  </si>
  <si>
    <t>Импорт метанола</t>
  </si>
  <si>
    <t>Технологическая мощность (минеральные удобрения)</t>
  </si>
  <si>
    <t>Производство минеральных удобрений (в пересчете на 100% питательных веществ)</t>
  </si>
  <si>
    <t>Потребление минеральных удобрений (в пересчете на 100% питательных веществ)</t>
  </si>
  <si>
    <t>Экспорт минеральных удобрений (в пересчете на 100% питательных веществ)</t>
  </si>
  <si>
    <t>Импорт минеральных удобрений (в пересчете на 100% питательных веществ)</t>
  </si>
  <si>
    <t>Технологическая мощность (азотные минеральные удобрения)</t>
  </si>
  <si>
    <t>Производство азотных минеральных удобрений (в пересчете на 100% N)</t>
  </si>
  <si>
    <t>Потребление азотных минеральных удобрений (в пересчете на 100% N)</t>
  </si>
  <si>
    <t>Экспорт азотных минеральных удобрений (в пересчете на 100% N)</t>
  </si>
  <si>
    <t>Импорт азотных минеральных удобрений (в пересчете на 100% N)</t>
  </si>
  <si>
    <t>Технологическая мощность (фосфорные минеральные удобрения)</t>
  </si>
  <si>
    <r>
      <rPr>
        <sz val="10"/>
        <color theme="1"/>
        <rFont val="Times New Roman"/>
        <charset val="204"/>
      </rPr>
      <t>Производство фосфорных минеральных удобрений (в пересчете на 100% P</t>
    </r>
    <r>
      <rPr>
        <vertAlign val="subscript"/>
        <sz val="10"/>
        <color theme="1"/>
        <rFont val="Times New Roman"/>
        <charset val="204"/>
      </rPr>
      <t>2</t>
    </r>
    <r>
      <rPr>
        <sz val="10"/>
        <color theme="1"/>
        <rFont val="Times New Roman"/>
        <charset val="204"/>
      </rPr>
      <t>O</t>
    </r>
    <r>
      <rPr>
        <vertAlign val="subscript"/>
        <sz val="10"/>
        <color theme="1"/>
        <rFont val="Times New Roman"/>
        <charset val="204"/>
      </rPr>
      <t>5</t>
    </r>
    <r>
      <rPr>
        <sz val="10"/>
        <color theme="1"/>
        <rFont val="Times New Roman"/>
        <charset val="204"/>
      </rPr>
      <t>)</t>
    </r>
  </si>
  <si>
    <r>
      <rPr>
        <sz val="10"/>
        <color theme="1"/>
        <rFont val="Times New Roman"/>
        <charset val="204"/>
      </rPr>
      <t>Потребление фосфорных минеральных удобрений (в пересчете на 100% P</t>
    </r>
    <r>
      <rPr>
        <vertAlign val="subscript"/>
        <sz val="10"/>
        <color theme="1"/>
        <rFont val="Times New Roman"/>
        <charset val="204"/>
      </rPr>
      <t>2</t>
    </r>
    <r>
      <rPr>
        <sz val="10"/>
        <color theme="1"/>
        <rFont val="Times New Roman"/>
        <charset val="204"/>
      </rPr>
      <t>O</t>
    </r>
    <r>
      <rPr>
        <vertAlign val="subscript"/>
        <sz val="10"/>
        <color theme="1"/>
        <rFont val="Times New Roman"/>
        <charset val="204"/>
      </rPr>
      <t>5</t>
    </r>
    <r>
      <rPr>
        <sz val="10"/>
        <color theme="1"/>
        <rFont val="Times New Roman"/>
        <charset val="204"/>
      </rPr>
      <t>)</t>
    </r>
  </si>
  <si>
    <r>
      <rPr>
        <sz val="10"/>
        <color theme="1"/>
        <rFont val="Times New Roman"/>
        <charset val="204"/>
      </rPr>
      <t>Экспорт фосфорных минеральных удобрений (в пересчете на 100% P</t>
    </r>
    <r>
      <rPr>
        <vertAlign val="subscript"/>
        <sz val="10"/>
        <color theme="1"/>
        <rFont val="Times New Roman"/>
        <charset val="204"/>
      </rPr>
      <t>2</t>
    </r>
    <r>
      <rPr>
        <sz val="10"/>
        <color theme="1"/>
        <rFont val="Times New Roman"/>
        <charset val="204"/>
      </rPr>
      <t>O</t>
    </r>
    <r>
      <rPr>
        <vertAlign val="subscript"/>
        <sz val="10"/>
        <color theme="1"/>
        <rFont val="Times New Roman"/>
        <charset val="204"/>
      </rPr>
      <t>5</t>
    </r>
    <r>
      <rPr>
        <sz val="10"/>
        <color theme="1"/>
        <rFont val="Times New Roman"/>
        <charset val="204"/>
      </rPr>
      <t>)</t>
    </r>
  </si>
  <si>
    <r>
      <rPr>
        <sz val="10"/>
        <color theme="1"/>
        <rFont val="Times New Roman"/>
        <charset val="204"/>
      </rPr>
      <t>Импорт фосфорных минеральных удобрений (в пересчете на 100% P</t>
    </r>
    <r>
      <rPr>
        <vertAlign val="subscript"/>
        <sz val="10"/>
        <color theme="1"/>
        <rFont val="Times New Roman"/>
        <charset val="204"/>
      </rPr>
      <t>2</t>
    </r>
    <r>
      <rPr>
        <sz val="10"/>
        <color theme="1"/>
        <rFont val="Times New Roman"/>
        <charset val="204"/>
      </rPr>
      <t>O</t>
    </r>
    <r>
      <rPr>
        <vertAlign val="subscript"/>
        <sz val="10"/>
        <color theme="1"/>
        <rFont val="Times New Roman"/>
        <charset val="204"/>
      </rPr>
      <t>5</t>
    </r>
    <r>
      <rPr>
        <sz val="10"/>
        <color theme="1"/>
        <rFont val="Times New Roman"/>
        <charset val="204"/>
      </rPr>
      <t>)</t>
    </r>
  </si>
  <si>
    <t>Технологическая мощность (калийные минеральные удобрения)</t>
  </si>
  <si>
    <r>
      <rPr>
        <sz val="10"/>
        <color theme="1"/>
        <rFont val="Times New Roman"/>
        <charset val="204"/>
      </rPr>
      <t>Производство калийных минеральных удобрений (в пересчете на 100% K</t>
    </r>
    <r>
      <rPr>
        <vertAlign val="subscript"/>
        <sz val="10"/>
        <color theme="1"/>
        <rFont val="Times New Roman"/>
        <charset val="204"/>
      </rPr>
      <t>2</t>
    </r>
    <r>
      <rPr>
        <sz val="10"/>
        <color theme="1"/>
        <rFont val="Times New Roman"/>
        <charset val="204"/>
      </rPr>
      <t>O)</t>
    </r>
  </si>
  <si>
    <r>
      <rPr>
        <sz val="10"/>
        <color theme="1"/>
        <rFont val="Times New Roman"/>
        <charset val="204"/>
      </rPr>
      <t>Потребление калийных минеральных удобрений (в пересчете на 100% K</t>
    </r>
    <r>
      <rPr>
        <vertAlign val="subscript"/>
        <sz val="10"/>
        <color theme="1"/>
        <rFont val="Times New Roman"/>
        <charset val="204"/>
      </rPr>
      <t>2</t>
    </r>
    <r>
      <rPr>
        <sz val="10"/>
        <color theme="1"/>
        <rFont val="Times New Roman"/>
        <charset val="204"/>
      </rPr>
      <t>O)</t>
    </r>
  </si>
  <si>
    <r>
      <rPr>
        <sz val="10"/>
        <color theme="1"/>
        <rFont val="Times New Roman"/>
        <charset val="204"/>
      </rPr>
      <t>Экспорт калийных минеральных удобрений (в пересчете на 100% K</t>
    </r>
    <r>
      <rPr>
        <vertAlign val="subscript"/>
        <sz val="10"/>
        <color theme="1"/>
        <rFont val="Times New Roman"/>
        <charset val="204"/>
      </rPr>
      <t>2</t>
    </r>
    <r>
      <rPr>
        <sz val="10"/>
        <color theme="1"/>
        <rFont val="Times New Roman"/>
        <charset val="204"/>
      </rPr>
      <t>O)</t>
    </r>
  </si>
  <si>
    <r>
      <rPr>
        <sz val="10"/>
        <color theme="1"/>
        <rFont val="Times New Roman"/>
        <charset val="204"/>
      </rPr>
      <t>Импорт калийных минеральных удобрений (в пересчете на 100% K</t>
    </r>
    <r>
      <rPr>
        <vertAlign val="subscript"/>
        <sz val="10"/>
        <color theme="1"/>
        <rFont val="Times New Roman"/>
        <charset val="204"/>
      </rPr>
      <t>2</t>
    </r>
    <r>
      <rPr>
        <sz val="10"/>
        <color theme="1"/>
        <rFont val="Times New Roman"/>
        <charset val="204"/>
      </rPr>
      <t>O)</t>
    </r>
  </si>
  <si>
    <t>Технологическая мощность (химические волокна и нити)</t>
  </si>
  <si>
    <t>Производство химических волокон и нитей</t>
  </si>
  <si>
    <t>Экспорт химических волокон и нитей</t>
  </si>
  <si>
    <t>Импорт химических волокон и нитей</t>
  </si>
  <si>
    <t>Технологическая мощность (лакокрасочные материалы)</t>
  </si>
  <si>
    <t>Экспорт лакокрасочных материалов</t>
  </si>
  <si>
    <t>Импорт лакокрасочных материалов</t>
  </si>
  <si>
    <t>Технологическая мощность (лакокрасочные материаалы)</t>
  </si>
  <si>
    <t>Технологическая мощность (сода каустическая)</t>
  </si>
  <si>
    <t>Потребление соды каустической</t>
  </si>
  <si>
    <t>Экспорт соды каустической</t>
  </si>
  <si>
    <t>Импорт соды каустической</t>
  </si>
  <si>
    <t>Технологическая мощность (сода кальционированная)</t>
  </si>
  <si>
    <t>Потребление соды кальционированной</t>
  </si>
  <si>
    <t>Экспорт соды кальционированной</t>
  </si>
  <si>
    <t>Импорт соды кальционированной</t>
  </si>
  <si>
    <t>Технологическая мощность (шины, всего)</t>
  </si>
  <si>
    <t>тыс. шт</t>
  </si>
  <si>
    <t>Производство шин (всего)</t>
  </si>
  <si>
    <t>Потребление шин (всего)</t>
  </si>
  <si>
    <t>Экспорт шин (всего)</t>
  </si>
  <si>
    <t>Импорт шин (всего)</t>
  </si>
  <si>
    <t>Технологическая мощность (шины для грузовых автомобилей, автобусов, троллейбусов)</t>
  </si>
  <si>
    <t>Производство шин для грузовых автомобилей, автобусов троллейбусов</t>
  </si>
  <si>
    <t>Потребление шин для грузовых автомобилей, автобусов, тролейбусов</t>
  </si>
  <si>
    <t>Экспорт шин для грузовых автомобилей, автобусов, троллейбусов</t>
  </si>
  <si>
    <t>Импорт шин для грузовых автомобилей, автобусов, троллейбусов</t>
  </si>
  <si>
    <t>Потребление шин для грузовых автомобилей, автобусов, троллейбусов</t>
  </si>
  <si>
    <t>Технологическая мощность (шины для легковых автомобилей)</t>
  </si>
  <si>
    <t>Производство шин для легковых автомобилей</t>
  </si>
  <si>
    <t>Экспорт шин для легковых автомобилей</t>
  </si>
  <si>
    <t>Импорт шин для легковых автомобилей</t>
  </si>
  <si>
    <t>Потребление шин для  легковых автомобилей</t>
  </si>
  <si>
    <t>Технологическая мощность (крупнотоннажные пластмассы)</t>
  </si>
  <si>
    <t>Потребление крупнотоннажных пластмасс</t>
  </si>
  <si>
    <t>Чистый экспорт/импорт крупнотоннажных пластмасс</t>
  </si>
  <si>
    <t>Потребление потребление крупнотоннажных пластмасс</t>
  </si>
  <si>
    <t>Технологическая мощность (полиэтилен)</t>
  </si>
  <si>
    <t>Потребление полиэтилена</t>
  </si>
  <si>
    <t>Чистый экспорт/импорт полиэтилена</t>
  </si>
  <si>
    <t>Технологическая мощность (синтетический каучук)</t>
  </si>
  <si>
    <t>Производство синтетического кучука</t>
  </si>
  <si>
    <t>Потребление синтетического каучука</t>
  </si>
  <si>
    <t>Чистый экспорт/импорт синтетического каучука</t>
  </si>
  <si>
    <t>Стратегия социально-экономического развития Российской Федерации с низким уровнем выбросов парниковых газов до 2050 года</t>
  </si>
  <si>
    <t>Минэкономразвития России</t>
  </si>
  <si>
    <t>№3052-р</t>
  </si>
  <si>
    <t>2021 год</t>
  </si>
  <si>
    <t>Инерционный</t>
  </si>
  <si>
    <t>Умеренные</t>
  </si>
  <si>
    <t>Текущие</t>
  </si>
  <si>
    <t>Темп роста ВВП (среднегодовой)</t>
  </si>
  <si>
    <t>План мероприятий (операционный план) реализации Стратегии социально-экономичес-кого развития Российской Федерции с низким уровнем выбросов парниковых газов</t>
  </si>
  <si>
    <t>2022 год (первая редакция)</t>
  </si>
  <si>
    <t xml:space="preserve">Целевой (интенсивный) </t>
  </si>
  <si>
    <t xml:space="preserve">Высокие </t>
  </si>
  <si>
    <t xml:space="preserve">Новые </t>
  </si>
  <si>
    <t>Выбросы ПГ в промышленности (всего)</t>
  </si>
  <si>
    <r>
      <rPr>
        <sz val="10"/>
        <color theme="1"/>
        <rFont val="Times New Roman"/>
        <charset val="204"/>
      </rPr>
      <t>Мт СО</t>
    </r>
    <r>
      <rPr>
        <vertAlign val="subscript"/>
        <sz val="10"/>
        <color theme="1"/>
        <rFont val="Times New Roman"/>
        <charset val="204"/>
      </rPr>
      <t>2экв</t>
    </r>
  </si>
  <si>
    <t>Удельные выбросы ПГ в промышленности и строительстве на единицу продукции (в ценах 2019 года)</t>
  </si>
  <si>
    <r>
      <rPr>
        <sz val="10"/>
        <color theme="1"/>
        <rFont val="Times New Roman"/>
        <charset val="204"/>
      </rPr>
      <t>тонн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/млн руб.</t>
    </r>
  </si>
  <si>
    <t>Изменение удельных выбросов ПГ в промышленности и строительстве (2019 год = 100%)</t>
  </si>
  <si>
    <t>Целевой (интенсивный) сценарий</t>
  </si>
  <si>
    <t xml:space="preserve">Выбросы ПГ в металлургической промышленности </t>
  </si>
  <si>
    <t>Удельные выбросы ПГ в металлургической промышленности на единицу продукции (в ценах 2019 года)</t>
  </si>
  <si>
    <t>Изменение удельных выбросов ПГ в металлургической промышленности (2019 год = 100%)</t>
  </si>
  <si>
    <r>
      <rPr>
        <sz val="10"/>
        <color theme="1"/>
        <rFont val="Times New Roman"/>
        <charset val="204"/>
      </rPr>
      <t>тонн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продукции</t>
    </r>
  </si>
  <si>
    <t>Изменение удельных выбросов ПГ в металлургической промышленности на единицу продукции (2019 год = 100%)</t>
  </si>
  <si>
    <t xml:space="preserve">Выбросы ПГ в химической промышленности </t>
  </si>
  <si>
    <t>Удельные выбросы ПГ в химической промышленности на единицу продукции (в ценах 2019 года)</t>
  </si>
  <si>
    <t>Изменение удельных выбросов ПГ в химической промышленности (2019 год = 100%)</t>
  </si>
  <si>
    <t>Изменение удельных выбросов ПГ в химической промышленности на единицу продукции (2019 год = 100%)</t>
  </si>
  <si>
    <t xml:space="preserve">Выбросы ПГ в прочей неметаллической минеральной продукции </t>
  </si>
  <si>
    <t>Удельные выбросы ПГ в прочей неметаллической минеральной продукции на единицу продукции (в ценах 2019 года)</t>
  </si>
  <si>
    <t>Изменение удельных выбросов ПГ в неметаллической минеральной продукции (2019 год = 100%)</t>
  </si>
  <si>
    <t>Изменение удельных выбросов ПГ в прочей неметаллической минеральной продукции на единицу продукции (2019 год = 100%)</t>
  </si>
  <si>
    <t xml:space="preserve">Выбросы ПГ в целлюлозно-бумажной промышленности </t>
  </si>
  <si>
    <t>Удельные выбросы ПГ в целлюлозно-бумажной промышленности на единицу продукции (в ценах 2019 года)</t>
  </si>
  <si>
    <t>Изменение удельных выбросов ПГ в целлюлозно-бумажной промышленности (2019 год = 100%)</t>
  </si>
  <si>
    <t>Изменение удельных выбросов ПГ в целлюлозно-бумжной промышленности на единицу продукции (2019 год = 100%)</t>
  </si>
  <si>
    <t xml:space="preserve">Выбросы ПГ в пищевой промышленности </t>
  </si>
  <si>
    <t>Удельные выбросы ПГ в пищевой промышленности на единицу продукции (в ценах 2019 года)</t>
  </si>
  <si>
    <t>Изменение удельных выбросов ПГ в пищевой промышленности (2019 год = 100%)</t>
  </si>
  <si>
    <t xml:space="preserve">Выбросы ПГ в прочих секторах промышленности </t>
  </si>
  <si>
    <t>Удельные выбросы ПГ в прочих секторах промышленности на единицу продукции (в ценах 2019 года)</t>
  </si>
  <si>
    <t>Изменение удельных выбросов ПГ в прочих секторах промышленности (2019 год = 100%)</t>
  </si>
  <si>
    <t xml:space="preserve">Выбросы ПГ в нефтепереработке </t>
  </si>
  <si>
    <t>Целевой (интенсивный)</t>
  </si>
  <si>
    <t>Удельные выбросы ПГ в нефтепереработке на единицу продукции (в ценах 2019 года)</t>
  </si>
  <si>
    <t>Изменение удельных выбросов ПГ в нефтепереработке (2019 год = 100%)</t>
  </si>
  <si>
    <t xml:space="preserve">Выбросы ПГ при добыче энергетических ресурсов (нефть, газ, уголь) </t>
  </si>
  <si>
    <t>Удельные выбросы ПГ при добыче энергоресурсов на единицу продукции (в ценах 2019 года)</t>
  </si>
  <si>
    <t>Углеродоемкость добычи нефти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</si>
  <si>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 xml:space="preserve">/т </t>
    </r>
  </si>
  <si>
    <t>Углеродоемкость добычи газа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</si>
  <si>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/тыс. м</t>
    </r>
    <r>
      <rPr>
        <vertAlign val="superscript"/>
        <sz val="10"/>
        <color theme="1"/>
        <rFont val="Times New Roman"/>
        <charset val="204"/>
      </rPr>
      <t>3</t>
    </r>
    <r>
      <rPr>
        <sz val="10"/>
        <color theme="1"/>
        <rFont val="Times New Roman"/>
        <charset val="204"/>
      </rPr>
      <t xml:space="preserve"> </t>
    </r>
  </si>
  <si>
    <t>Углеродоемкость добычи угля</t>
  </si>
  <si>
    <t>Изменение удельных выбросов ПГ при добыче энергоресурсов (2019 год = 100%)</t>
  </si>
  <si>
    <t>Доля обогащенного каменного энергетического угля в общем объеме его добычи</t>
  </si>
  <si>
    <t>Доля газомоторного топлива в структуре моторных топлив</t>
  </si>
  <si>
    <t>Отчет по ВИП ГЗ «Экономика климата»</t>
  </si>
  <si>
    <t>Консорциум 5</t>
  </si>
  <si>
    <t>2024 год</t>
  </si>
  <si>
    <t>Целевой</t>
  </si>
  <si>
    <t>Энергоемкость ВВП (2019 год = 100%)</t>
  </si>
  <si>
    <t>Индекс роста выпуска продукции по экономики  России (всего), в том числе:</t>
  </si>
  <si>
    <t>Индекс роста выпуска продукции по промышленному производству</t>
  </si>
  <si>
    <t>Выбросы ПГ (всего), в том числе:</t>
  </si>
  <si>
    <t>Промышленное производство, включая выбросы ПГ от сжигания топлива</t>
  </si>
  <si>
    <t>Промышленность и строительство (потребление электроэнергии)</t>
  </si>
  <si>
    <t>млрд кВт*ч</t>
  </si>
  <si>
    <t>Промышленность и строительство (потребление тепловой энергии)</t>
  </si>
  <si>
    <t>млн т.у.т</t>
  </si>
  <si>
    <t>Промышленность и строительство (потребление природного газа)</t>
  </si>
  <si>
    <t>Промышленность и строительство (потребление твердого топлива)</t>
  </si>
  <si>
    <t>Промышленность и строительство (потребление нефтепродуктов)</t>
  </si>
  <si>
    <t>Металлургия (потребление электроэнергии)</t>
  </si>
  <si>
    <t>Металлургия (потребление тепловой энергии)</t>
  </si>
  <si>
    <t>Металлургия (потребление природного газа)</t>
  </si>
  <si>
    <t>Металлургия (потребление твердого топлива)</t>
  </si>
  <si>
    <t>Металлургия (потребление нефтепродуктов)</t>
  </si>
  <si>
    <t>Химическая промышленность (потребление электроэнергии)</t>
  </si>
  <si>
    <t>Химическая промышленность (потребление тепловой энергии)</t>
  </si>
  <si>
    <t>Химическая промышленность (потребление природного газа)</t>
  </si>
  <si>
    <t>Химическая промышленность (потребление твердого топлива)</t>
  </si>
  <si>
    <t>Химическая промышленность (потребление нефтепродуктов)</t>
  </si>
  <si>
    <t>Производство неметаллических минеральных продуктов (потребление электроэнергии)</t>
  </si>
  <si>
    <t>Производство неметаллических минеральных продуктов (потребление тепловой энергии)</t>
  </si>
  <si>
    <t>Производство неметаллических минеральных продуктов (потребление природного газа)</t>
  </si>
  <si>
    <t>Производство неметаллических минеральных продуктов (потребление твердого топлива)</t>
  </si>
  <si>
    <t>Производство неметаллических минеральных продуктов (потребление нефтепродуктов)</t>
  </si>
  <si>
    <t>Выбросы ПГ (черная металлургия)</t>
  </si>
  <si>
    <t>Производство агломерата железорудного</t>
  </si>
  <si>
    <t xml:space="preserve">Удельные выбросы ПГ при производстве агломерата 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</si>
  <si>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агломерата</t>
    </r>
  </si>
  <si>
    <t>Производство окатышей железорудных</t>
  </si>
  <si>
    <t xml:space="preserve">Удельные выбросы ПГ при производстве окатышей 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</si>
  <si>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окатышей</t>
    </r>
  </si>
  <si>
    <t>Производство прямовосстановленного железа (ПВЖ)</t>
  </si>
  <si>
    <t xml:space="preserve">Удельные выбросы ПГ при производстве ПВЖ 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</si>
  <si>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ПВЖ</t>
    </r>
  </si>
  <si>
    <t xml:space="preserve">Удельные выбросы ПГ при производстве чугуна 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</si>
  <si>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чугуна</t>
    </r>
  </si>
  <si>
    <t>Выплавка конвертерной и мартеновской стали</t>
  </si>
  <si>
    <t>Выплавка электростали</t>
  </si>
  <si>
    <t>Выплавка электростали (водород)</t>
  </si>
  <si>
    <t>Доля выплавки электростали (водород)</t>
  </si>
  <si>
    <t xml:space="preserve">Удельные выбросы ПГ при производстве стали 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</si>
  <si>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стали</t>
    </r>
  </si>
  <si>
    <t>Выбросы ПГ (цветная металлургия)</t>
  </si>
  <si>
    <t>Выбросы ПГ при производстве алюминия</t>
  </si>
  <si>
    <t xml:space="preserve">Удельные выбросы ПГ при производстве алюминия 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</si>
  <si>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алюминия</t>
    </r>
  </si>
  <si>
    <t>Выбросы ПГ (химическая и нефтехимическая промышленность)</t>
  </si>
  <si>
    <t>Доля производства аммиака способом автотермического риформинга (АТР)</t>
  </si>
  <si>
    <t xml:space="preserve">Удельные выбросы ПГ при производстве аммиака 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</si>
  <si>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аммиака</t>
    </r>
  </si>
  <si>
    <t>кг СО2-ЭКВ/т аммиака</t>
  </si>
  <si>
    <t xml:space="preserve">Удельные выбросы ПГ при производстве метанола 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</si>
  <si>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метанола</t>
    </r>
  </si>
  <si>
    <t>Производство азотной кислоты (удобрения азотные)</t>
  </si>
  <si>
    <t xml:space="preserve">Удельные выбросы ПГ при производстве азотной кислоты 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</si>
  <si>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кислоты</t>
    </r>
  </si>
  <si>
    <t>Производство удобрений фосфорных</t>
  </si>
  <si>
    <t xml:space="preserve">Удельные выбросы ПГ при производстве удобрений фосфорных 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</si>
  <si>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удобрений</t>
    </r>
  </si>
  <si>
    <t>Производство удобрений калийных</t>
  </si>
  <si>
    <t xml:space="preserve">Удельные выбросы ПГ при производстве удобрений калийных </t>
  </si>
  <si>
    <t>Выбросы ПГ (промышленность строительных материалов)</t>
  </si>
  <si>
    <t>Производство клинкера цементного</t>
  </si>
  <si>
    <t>Удельные выбросы ПГ при производстве клинкера цементного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</si>
  <si>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клинкера</t>
    </r>
  </si>
  <si>
    <t>Доля "сухого" способа производства цемента</t>
  </si>
  <si>
    <t>Удельные выбросы ПГ при производстве цемента</t>
  </si>
  <si>
    <r>
      <rPr>
        <sz val="10"/>
        <color theme="1"/>
        <rFont val="Times New Roman"/>
        <charset val="204"/>
      </rPr>
      <t>кг СО</t>
    </r>
    <r>
      <rPr>
        <vertAlign val="subscript"/>
        <sz val="10"/>
        <color theme="1"/>
        <rFont val="Times New Roman"/>
        <charset val="204"/>
      </rPr>
      <t>2-ЭКВ</t>
    </r>
    <r>
      <rPr>
        <sz val="10"/>
        <color theme="1"/>
        <rFont val="Times New Roman"/>
        <charset val="204"/>
      </rPr>
      <t>/т цемента</t>
    </r>
  </si>
  <si>
    <t>ЦЭНЭФ-XXI</t>
  </si>
  <si>
    <t>2026 год</t>
  </si>
  <si>
    <t xml:space="preserve">4D </t>
  </si>
  <si>
    <t>Решительные</t>
  </si>
  <si>
    <t xml:space="preserve">4S </t>
  </si>
  <si>
    <t>Низкие</t>
  </si>
  <si>
    <t xml:space="preserve">Производство азотной кислоты </t>
  </si>
  <si>
    <t>Потребление топливно-энергетических ресурсов (азотная кислота)</t>
  </si>
  <si>
    <t>Удельная энергоемкость производства азотной кислоты</t>
  </si>
  <si>
    <t>кг.у.т/т кислоты</t>
  </si>
  <si>
    <t>Выбросы ПГ (азотная кислота)</t>
  </si>
  <si>
    <t>Доля производства аммиака способом парового риформинга метана (SMR)</t>
  </si>
  <si>
    <t>Доля производства аммиака способом парового риформинга метана c использованием техно-логии CCUS ("голубой" аммиак)</t>
  </si>
  <si>
    <t>Доля производства аммиака c использованием водорода ("зеленый" аммиак)</t>
  </si>
  <si>
    <t>Потребление топливно-энергетических ресурсов (аммиак)</t>
  </si>
  <si>
    <t>Удельная энергоемкость производства аммиака</t>
  </si>
  <si>
    <t>кг.у.т/т аммиака</t>
  </si>
  <si>
    <t>Выбросы ПГ, нетто (аммиак)</t>
  </si>
  <si>
    <t>Удельные выбросы ПГ при производстве аммиака (нетто)</t>
  </si>
  <si>
    <t>Доля энергоэффективных способов производства цемента  (сухой, комбинированный)</t>
  </si>
  <si>
    <t>Потребление топливно-энергетичес-ких ресурсов (цемент + клинкер)</t>
  </si>
  <si>
    <t>Удельное потребление топливно-энер-гетических ресурсов при производстве цемента и клинкера (клинкер + цемент)</t>
  </si>
  <si>
    <t>кг.у.т/т цемента (клинкер + цемент)</t>
  </si>
  <si>
    <t>Выбросы ПГ(цемент)</t>
  </si>
  <si>
    <t xml:space="preserve">Удельные выбросы ПГ при производстве цемента </t>
  </si>
  <si>
    <t>2023 год</t>
  </si>
  <si>
    <t>Выбросы ПГ (промышленность)</t>
  </si>
  <si>
    <t xml:space="preserve">4F </t>
  </si>
  <si>
    <t>Потребление топливно-энергетических ресурсов (промышленность)</t>
  </si>
  <si>
    <t>Доля электроэнергии в потреблении топливно-энергетических ресурсов</t>
  </si>
  <si>
    <t>Доля выплавки стали в электродуговых печах (электросталь)</t>
  </si>
  <si>
    <t>Доля производства ПВЖ с использованием водорода</t>
  </si>
  <si>
    <t>Доля производства ПВЖ с использованием природного газа и технологии CCUS</t>
  </si>
  <si>
    <t>Производство алюминия первичного</t>
  </si>
  <si>
    <t>Доля производства алюминия по технологии предварительно обожженных аанодов</t>
  </si>
  <si>
    <t>Доля производства алюминия по технологии "инертных" анодов</t>
  </si>
  <si>
    <t>Прогнозируемый период</t>
  </si>
  <si>
    <t>2022-2024 гг.</t>
  </si>
  <si>
    <t>2025-2030 гг.</t>
  </si>
  <si>
    <t>2031-2035 гг.</t>
  </si>
  <si>
    <t>2036-2040 гг.</t>
  </si>
  <si>
    <t>2041-2045 гг.</t>
  </si>
  <si>
    <t>2046-2050 гг.</t>
  </si>
  <si>
    <t>2051-2055 гг.</t>
  </si>
  <si>
    <t>2056-2060 гг.</t>
  </si>
  <si>
    <t>ЗИЗЛХ</t>
  </si>
  <si>
    <r>
      <rPr>
        <sz val="10"/>
        <color theme="1"/>
        <rFont val="Times New Roman"/>
        <charset val="204"/>
      </rPr>
      <t>млн тонн СО</t>
    </r>
    <r>
      <rPr>
        <vertAlign val="subscript"/>
        <sz val="10"/>
        <color theme="1"/>
        <rFont val="Times New Roman"/>
        <charset val="204"/>
      </rPr>
      <t>2-ЭКВ</t>
    </r>
  </si>
  <si>
    <t>Нетто-выбросы ПГ</t>
  </si>
  <si>
    <r>
      <rPr>
        <sz val="10"/>
        <color theme="1"/>
        <rFont val="Times New Roman"/>
        <charset val="204"/>
      </rPr>
      <t>Мт СО</t>
    </r>
    <r>
      <rPr>
        <vertAlign val="subscript"/>
        <sz val="10"/>
        <color theme="1"/>
        <rFont val="Times New Roman"/>
        <charset val="204"/>
      </rPr>
      <t>2ЭКВ</t>
    </r>
  </si>
  <si>
    <t>Выбросы ПГ в промышленности</t>
  </si>
  <si>
    <t>Изменение удельных выбросов ПГ в промышленности (2019 год = 100%)</t>
  </si>
  <si>
    <t>Изменение удельных выбросов ПГ в целлюлозно-бумажной промышленности на единицу продукции (2019 год = 100%)</t>
  </si>
  <si>
    <t>Доля производства аммиака способом парового риформинга метана c использованием технологии CCUS ("голубой" аммиак)</t>
  </si>
  <si>
    <t>Потребление топливно-энергетических ресурсов (цемент + клинкер)</t>
  </si>
  <si>
    <t>Удельное потребление топливно-энергетических ресурсов при производстве цемента и клинкера (клинкер + цемент)</t>
  </si>
  <si>
    <t>Outlook-2023</t>
  </si>
  <si>
    <t>Базовый сценарий (Reference case)</t>
  </si>
  <si>
    <t>Жидкое топливо (Liquid fuels)</t>
  </si>
  <si>
    <t>млн. т.у.т</t>
  </si>
  <si>
    <t>Высокий экономический рост (High Economic Growth case)</t>
  </si>
  <si>
    <t>Низкий экономический рост (Low Economic Growth case)</t>
  </si>
  <si>
    <t>Сценарий высокой себестоимости технологий с нулевым выбросом углерода (High Zero-carbon Technology Cost case)</t>
  </si>
  <si>
    <t>Сценарий низкой себестоимости технологий с нулевым выбросом углерода (Low Zero-carbon Technology Cost case)</t>
  </si>
  <si>
    <t>Природный газ (Natural gas)</t>
  </si>
  <si>
    <t>Уголь (Coal)</t>
  </si>
  <si>
    <t>Электроэнергия (Electricity)</t>
  </si>
  <si>
    <t xml:space="preserve"> Renewables (Возобновляемые источники энергии)</t>
  </si>
  <si>
    <t xml:space="preserve"> Всего (Total)</t>
  </si>
  <si>
    <t>Центральный банк Российской Федерации</t>
  </si>
  <si>
    <t>BAU scenario</t>
  </si>
  <si>
    <t>Выбросы ПГ от сжигания топлива (металлургия)</t>
  </si>
  <si>
    <t>CBAM Moderate scenario</t>
  </si>
  <si>
    <t>CBAM Extreme scenario</t>
  </si>
  <si>
    <t>ETS BAU scenario</t>
  </si>
  <si>
    <t>ETS+CBAM Moderate scenario</t>
  </si>
  <si>
    <t>ETS+CBAM Extreme scenario</t>
  </si>
  <si>
    <t>Выбросы ПГ от сжигания топлива (химическая промышленность)</t>
  </si>
  <si>
    <t>Выбросы ПГ от сжигания топлива (производство нефтепродуктов)</t>
  </si>
  <si>
    <t>Выбросы ПГ от сжигания топлива (целлюлозно-бумажное производство)</t>
  </si>
  <si>
    <t>Выбросы ПГ от сжигания топлива (производство прочих неметаллических минеральных продуктов)</t>
  </si>
  <si>
    <t>Институт ВЭБ</t>
  </si>
  <si>
    <t>Выбросы ПГ (металлургия)</t>
  </si>
  <si>
    <t>Выбросы ПГ  (химическая промышленность)</t>
  </si>
  <si>
    <t>База данных – ОДНиР (Оценочный Доклад Низкоуглеродная Россия)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</si>
</sst>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0.0"/>
    <numFmt numFmtId="166" formatCode="0.000"/>
    <numFmt numFmtId="167" formatCode="_-* #,##0.0_-;\-* #,##0.0_-;_-* &quot;-&quot;??_-;_-@_-"/>
    <numFmt numFmtId="168" formatCode="#,##0.0"/>
  </numFmts>
  <fonts count="50">
    <font>
      <sz val="11"/>
      <color theme="1"/>
      <name val="Calibri"/>
      <charset val="204"/>
      <scheme val="minor"/>
    </font>
    <font>
      <b/>
      <sz val="12"/>
      <color rgb="FFFF0000"/>
      <name val="Times New Roman"/>
      <charset val="204"/>
    </font>
    <font>
      <sz val="12"/>
      <color theme="1"/>
      <name val="Times New Roman"/>
      <charset val="204"/>
    </font>
    <font>
      <u/>
      <sz val="11"/>
      <color theme="10"/>
      <name val="Calibri"/>
      <charset val="204"/>
      <scheme val="minor"/>
    </font>
    <font>
      <sz val="10"/>
      <color theme="1"/>
      <name val="Times New Roman"/>
      <charset val="204"/>
    </font>
    <font>
      <b/>
      <sz val="14"/>
      <color rgb="FFFF0000"/>
      <name val="Arial"/>
      <charset val="204"/>
    </font>
    <font>
      <b/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name val="Times New Roman"/>
      <charset val="204"/>
    </font>
    <font>
      <sz val="10"/>
      <color theme="1"/>
      <name val="Calibri"/>
      <charset val="204"/>
    </font>
    <font>
      <b/>
      <sz val="12"/>
      <color rgb="FFFF0000"/>
      <name val="Arial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sz val="10"/>
      <color theme="1"/>
      <name val="Calibri"/>
      <charset val="204"/>
      <scheme val="minor"/>
    </font>
    <font>
      <sz val="14"/>
      <name val="Arial"/>
      <charset val="204"/>
    </font>
    <font>
      <sz val="20"/>
      <color indexed="18"/>
      <name val="Impact"/>
      <charset val="204"/>
    </font>
    <font>
      <sz val="14"/>
      <name val="Arial Black"/>
      <charset val="204"/>
    </font>
    <font>
      <sz val="14"/>
      <color indexed="10"/>
      <name val="Impact"/>
      <charset val="204"/>
    </font>
    <font>
      <sz val="16"/>
      <color indexed="10"/>
      <name val="Impact"/>
      <charset val="204"/>
    </font>
    <font>
      <sz val="10"/>
      <name val="Impact"/>
      <charset val="204"/>
    </font>
    <font>
      <b/>
      <sz val="10"/>
      <color indexed="18"/>
      <name val="Arial"/>
      <charset val="204"/>
    </font>
    <font>
      <b/>
      <sz val="14"/>
      <color indexed="18"/>
      <name val="Arial"/>
      <charset val="204"/>
    </font>
    <font>
      <sz val="10"/>
      <color indexed="18"/>
      <name val="Impact"/>
      <charset val="204"/>
    </font>
    <font>
      <sz val="13"/>
      <color theme="3" tint="-0.249977111117893"/>
      <name val="Impact"/>
      <charset val="204"/>
    </font>
    <font>
      <sz val="14"/>
      <color theme="3"/>
      <name val="Impact"/>
      <charset val="204"/>
    </font>
    <font>
      <sz val="13"/>
      <color indexed="10"/>
      <name val="Arial Black"/>
      <charset val="204"/>
    </font>
    <font>
      <sz val="11"/>
      <color theme="3" tint="-0.249977111117893"/>
      <name val="Impact"/>
      <charset val="204"/>
    </font>
    <font>
      <sz val="13"/>
      <color indexed="10"/>
      <name val="Impact"/>
      <charset val="204"/>
    </font>
    <font>
      <b/>
      <sz val="12"/>
      <color indexed="10"/>
      <name val="Arial"/>
      <charset val="204"/>
    </font>
    <font>
      <sz val="14"/>
      <color theme="3" tint="-0.249977111117893"/>
      <name val="Impact"/>
      <charset val="204"/>
    </font>
    <font>
      <u/>
      <sz val="10"/>
      <color theme="10"/>
      <name val="Arial Cyr"/>
      <charset val="204"/>
    </font>
    <font>
      <b/>
      <sz val="14"/>
      <color indexed="10"/>
      <name val="Arial Black"/>
      <charset val="204"/>
    </font>
    <font>
      <sz val="11"/>
      <color theme="1"/>
      <name val="Impact"/>
      <charset val="204"/>
    </font>
    <font>
      <sz val="10"/>
      <color indexed="10"/>
      <name val="Arial"/>
      <charset val="204"/>
    </font>
    <font>
      <b/>
      <sz val="11"/>
      <name val="Times New Roman"/>
      <charset val="204"/>
    </font>
    <font>
      <u/>
      <sz val="11"/>
      <color rgb="FF800080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1"/>
      <color rgb="FFFF0000"/>
      <name val="Times New Roman"/>
      <charset val="204"/>
    </font>
    <font>
      <u/>
      <sz val="11"/>
      <color theme="10"/>
      <name val="Calibri"/>
      <charset val="134"/>
      <scheme val="minor"/>
    </font>
    <font>
      <sz val="10"/>
      <name val="Arial"/>
      <charset val="204"/>
    </font>
    <font>
      <sz val="11"/>
      <color theme="1"/>
      <name val="Calibri"/>
      <charset val="134"/>
      <scheme val="minor"/>
    </font>
    <font>
      <vertAlign val="subscript"/>
      <sz val="10"/>
      <color theme="1"/>
      <name val="Times New Roman"/>
      <charset val="204"/>
    </font>
    <font>
      <vertAlign val="superscript"/>
      <sz val="10"/>
      <color theme="1"/>
      <name val="Times New Roman"/>
      <charset val="204"/>
    </font>
    <font>
      <b/>
      <sz val="9"/>
      <name val="Tahoma"/>
      <charset val="204"/>
    </font>
    <font>
      <sz val="9"/>
      <name val="Tahoma"/>
      <charset val="204"/>
    </font>
    <font>
      <b/>
      <sz val="9"/>
      <name val="Tahoma"/>
      <charset val="134"/>
    </font>
    <font>
      <sz val="9"/>
      <name val="Tahoma"/>
      <charset val="134"/>
    </font>
    <font>
      <sz val="11"/>
      <color theme="1"/>
      <name val="Calibri"/>
      <charset val="204"/>
      <scheme val="minor"/>
    </font>
    <font>
      <sz val="20"/>
      <color rgb="FFFF0000"/>
      <name val="Impac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gray0625">
        <bgColor rgb="FFFFFF99"/>
      </patternFill>
    </fill>
  </fills>
  <borders count="4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dashed">
        <color rgb="FFD3D3D3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43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0" borderId="0">
      <alignment vertical="top"/>
    </xf>
    <xf numFmtId="0" fontId="41" fillId="0" borderId="0"/>
    <xf numFmtId="0" fontId="48" fillId="0" borderId="0"/>
  </cellStyleXfs>
  <cellXfs count="28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3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9" fontId="4" fillId="0" borderId="5" xfId="2" applyFont="1" applyBorder="1" applyAlignment="1">
      <alignment horizontal="center" vertical="center"/>
    </xf>
    <xf numFmtId="164" fontId="4" fillId="0" borderId="16" xfId="2" applyNumberFormat="1" applyFont="1" applyBorder="1" applyAlignment="1">
      <alignment vertical="center"/>
    </xf>
    <xf numFmtId="164" fontId="4" fillId="0" borderId="17" xfId="2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165" fontId="4" fillId="0" borderId="19" xfId="0" applyNumberFormat="1" applyFont="1" applyBorder="1" applyAlignment="1">
      <alignment vertical="center"/>
    </xf>
    <xf numFmtId="0" fontId="4" fillId="0" borderId="21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9" fontId="4" fillId="0" borderId="23" xfId="2" applyFont="1" applyBorder="1" applyAlignment="1">
      <alignment horizontal="center" vertical="center"/>
    </xf>
    <xf numFmtId="164" fontId="4" fillId="0" borderId="24" xfId="2" applyNumberFormat="1" applyFont="1" applyBorder="1" applyAlignment="1">
      <alignment vertical="center"/>
    </xf>
    <xf numFmtId="164" fontId="4" fillId="0" borderId="19" xfId="2" applyNumberFormat="1" applyFont="1" applyBorder="1" applyAlignment="1">
      <alignment vertical="center"/>
    </xf>
    <xf numFmtId="10" fontId="4" fillId="0" borderId="24" xfId="2" applyNumberFormat="1" applyFont="1" applyBorder="1" applyAlignment="1">
      <alignment horizontal="right" vertical="center"/>
    </xf>
    <xf numFmtId="10" fontId="4" fillId="0" borderId="19" xfId="2" applyNumberFormat="1" applyFont="1" applyBorder="1" applyAlignment="1">
      <alignment horizontal="right" vertical="center"/>
    </xf>
    <xf numFmtId="164" fontId="4" fillId="0" borderId="24" xfId="2" applyNumberFormat="1" applyFont="1" applyBorder="1" applyAlignment="1">
      <alignment horizontal="right" vertical="center"/>
    </xf>
    <xf numFmtId="164" fontId="4" fillId="0" borderId="19" xfId="2" applyNumberFormat="1" applyFont="1" applyBorder="1" applyAlignment="1">
      <alignment horizontal="right" vertical="center"/>
    </xf>
    <xf numFmtId="11" fontId="4" fillId="0" borderId="21" xfId="0" applyNumberFormat="1" applyFont="1" applyBorder="1" applyAlignment="1">
      <alignment vertical="center" wrapText="1"/>
    </xf>
    <xf numFmtId="11" fontId="4" fillId="0" borderId="21" xfId="0" applyNumberFormat="1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11" fontId="4" fillId="0" borderId="21" xfId="0" applyNumberFormat="1" applyFont="1" applyBorder="1" applyAlignment="1">
      <alignment horizontal="left" vertical="center" wrapText="1" indent="2"/>
    </xf>
    <xf numFmtId="0" fontId="4" fillId="0" borderId="21" xfId="0" applyFont="1" applyBorder="1" applyAlignment="1">
      <alignment horizontal="left" vertical="center" wrapText="1" indent="2"/>
    </xf>
    <xf numFmtId="0" fontId="0" fillId="0" borderId="19" xfId="0" applyBorder="1"/>
    <xf numFmtId="0" fontId="0" fillId="0" borderId="25" xfId="0" applyBorder="1"/>
    <xf numFmtId="165" fontId="4" fillId="0" borderId="24" xfId="0" applyNumberFormat="1" applyFont="1" applyBorder="1" applyAlignment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24" xfId="0" applyFont="1" applyBorder="1"/>
    <xf numFmtId="164" fontId="4" fillId="0" borderId="19" xfId="2" applyNumberFormat="1" applyFont="1" applyBorder="1" applyAlignment="1">
      <alignment horizontal="center" vertical="center"/>
    </xf>
    <xf numFmtId="0" fontId="4" fillId="0" borderId="19" xfId="0" applyFont="1" applyBorder="1"/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9" fontId="4" fillId="0" borderId="24" xfId="2" applyFont="1" applyBorder="1" applyAlignment="1">
      <alignment vertical="center"/>
    </xf>
    <xf numFmtId="9" fontId="4" fillId="0" borderId="19" xfId="2" applyFont="1" applyBorder="1" applyAlignment="1">
      <alignment vertical="center"/>
    </xf>
    <xf numFmtId="0" fontId="4" fillId="0" borderId="24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19" xfId="0" applyFont="1" applyBorder="1" applyAlignment="1">
      <alignment horizontal="right"/>
    </xf>
    <xf numFmtId="0" fontId="4" fillId="0" borderId="21" xfId="0" applyFont="1" applyBorder="1" applyAlignment="1">
      <alignment horizontal="left" vertical="top" wrapText="1" indent="2"/>
    </xf>
    <xf numFmtId="165" fontId="4" fillId="0" borderId="24" xfId="0" applyNumberFormat="1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indent="2"/>
    </xf>
    <xf numFmtId="9" fontId="4" fillId="0" borderId="24" xfId="2" applyFont="1" applyBorder="1" applyAlignment="1">
      <alignment horizontal="right" vertical="center"/>
    </xf>
    <xf numFmtId="9" fontId="4" fillId="0" borderId="19" xfId="2" applyFont="1" applyBorder="1" applyAlignment="1">
      <alignment horizontal="right" vertical="center"/>
    </xf>
    <xf numFmtId="49" fontId="4" fillId="0" borderId="19" xfId="0" applyNumberFormat="1" applyFont="1" applyBorder="1" applyAlignment="1">
      <alignment vertical="center" wrapText="1"/>
    </xf>
    <xf numFmtId="9" fontId="4" fillId="0" borderId="25" xfId="2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19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165" fontId="4" fillId="0" borderId="19" xfId="0" applyNumberFormat="1" applyFont="1" applyBorder="1" applyAlignment="1">
      <alignment horizontal="right" vertical="center"/>
    </xf>
    <xf numFmtId="49" fontId="4" fillId="0" borderId="21" xfId="0" applyNumberFormat="1" applyFont="1" applyBorder="1" applyAlignment="1">
      <alignment horizontal="left" vertical="center" wrapText="1" indent="2"/>
    </xf>
    <xf numFmtId="49" fontId="4" fillId="0" borderId="21" xfId="0" applyNumberFormat="1" applyFont="1" applyBorder="1" applyAlignment="1">
      <alignment horizontal="left" vertical="center" wrapText="1"/>
    </xf>
    <xf numFmtId="0" fontId="4" fillId="0" borderId="25" xfId="0" applyFont="1" applyBorder="1" applyAlignment="1">
      <alignment horizontal="right" vertical="center"/>
    </xf>
    <xf numFmtId="165" fontId="4" fillId="0" borderId="23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165" fontId="4" fillId="0" borderId="25" xfId="0" applyNumberFormat="1" applyFont="1" applyBorder="1" applyAlignment="1">
      <alignment vertical="center"/>
    </xf>
    <xf numFmtId="0" fontId="4" fillId="0" borderId="25" xfId="0" applyFont="1" applyBorder="1"/>
    <xf numFmtId="165" fontId="4" fillId="0" borderId="25" xfId="0" applyNumberFormat="1" applyFont="1" applyBorder="1" applyAlignment="1">
      <alignment horizontal="right" vertical="center"/>
    </xf>
    <xf numFmtId="164" fontId="4" fillId="0" borderId="23" xfId="2" applyNumberFormat="1" applyFont="1" applyBorder="1" applyAlignment="1">
      <alignment horizontal="right" vertical="center"/>
    </xf>
    <xf numFmtId="164" fontId="4" fillId="0" borderId="25" xfId="2" applyNumberFormat="1" applyFont="1" applyBorder="1" applyAlignment="1">
      <alignment horizontal="right" vertical="center"/>
    </xf>
    <xf numFmtId="165" fontId="4" fillId="0" borderId="23" xfId="0" applyNumberFormat="1" applyFont="1" applyBorder="1" applyAlignment="1">
      <alignment horizontal="center" vertical="center"/>
    </xf>
    <xf numFmtId="9" fontId="4" fillId="0" borderId="23" xfId="2" applyFont="1" applyBorder="1" applyAlignment="1">
      <alignment horizontal="right" vertical="center"/>
    </xf>
    <xf numFmtId="166" fontId="4" fillId="0" borderId="23" xfId="0" applyNumberFormat="1" applyFont="1" applyBorder="1" applyAlignment="1">
      <alignment horizontal="right" vertical="center"/>
    </xf>
    <xf numFmtId="166" fontId="4" fillId="0" borderId="24" xfId="0" applyNumberFormat="1" applyFont="1" applyBorder="1" applyAlignment="1">
      <alignment vertical="center"/>
    </xf>
    <xf numFmtId="166" fontId="4" fillId="0" borderId="19" xfId="0" applyNumberFormat="1" applyFont="1" applyBorder="1" applyAlignment="1">
      <alignment vertical="center"/>
    </xf>
    <xf numFmtId="164" fontId="7" fillId="0" borderId="25" xfId="2" applyNumberFormat="1" applyFont="1" applyBorder="1" applyAlignment="1">
      <alignment horizontal="right" vertical="center" wrapText="1"/>
    </xf>
    <xf numFmtId="164" fontId="8" fillId="0" borderId="25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1" fontId="4" fillId="0" borderId="23" xfId="0" applyNumberFormat="1" applyFont="1" applyBorder="1" applyAlignment="1">
      <alignment horizontal="right" vertical="center"/>
    </xf>
    <xf numFmtId="1" fontId="4" fillId="0" borderId="24" xfId="0" applyNumberFormat="1" applyFont="1" applyBorder="1" applyAlignment="1">
      <alignment horizontal="right" vertical="center"/>
    </xf>
    <xf numFmtId="1" fontId="4" fillId="0" borderId="19" xfId="0" applyNumberFormat="1" applyFont="1" applyBorder="1" applyAlignment="1">
      <alignment vertical="center"/>
    </xf>
    <xf numFmtId="1" fontId="4" fillId="0" borderId="19" xfId="0" applyNumberFormat="1" applyFont="1" applyBorder="1" applyAlignment="1">
      <alignment horizontal="right" vertical="center"/>
    </xf>
    <xf numFmtId="1" fontId="4" fillId="0" borderId="25" xfId="0" applyNumberFormat="1" applyFont="1" applyBorder="1" applyAlignment="1">
      <alignment vertical="center"/>
    </xf>
    <xf numFmtId="1" fontId="4" fillId="0" borderId="24" xfId="0" applyNumberFormat="1" applyFont="1" applyBorder="1" applyAlignment="1">
      <alignment vertical="center"/>
    </xf>
    <xf numFmtId="9" fontId="4" fillId="0" borderId="24" xfId="0" applyNumberFormat="1" applyFont="1" applyBorder="1" applyAlignment="1">
      <alignment vertical="center"/>
    </xf>
    <xf numFmtId="9" fontId="4" fillId="0" borderId="25" xfId="2" applyFont="1" applyBorder="1" applyAlignment="1">
      <alignment vertical="center"/>
    </xf>
    <xf numFmtId="0" fontId="9" fillId="0" borderId="23" xfId="0" applyFont="1" applyBorder="1" applyAlignment="1">
      <alignment horizontal="right" vertical="center"/>
    </xf>
    <xf numFmtId="167" fontId="4" fillId="0" borderId="19" xfId="1" applyNumberFormat="1" applyFont="1" applyBorder="1" applyAlignment="1">
      <alignment vertical="center"/>
    </xf>
    <xf numFmtId="49" fontId="4" fillId="0" borderId="29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49" fontId="4" fillId="0" borderId="29" xfId="0" applyNumberFormat="1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right" vertical="center"/>
    </xf>
    <xf numFmtId="0" fontId="4" fillId="0" borderId="31" xfId="0" applyFont="1" applyBorder="1" applyAlignment="1">
      <alignment horizontal="left" vertical="center" wrapText="1" indent="2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vertical="center"/>
    </xf>
    <xf numFmtId="9" fontId="4" fillId="0" borderId="29" xfId="2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9" fontId="4" fillId="0" borderId="35" xfId="2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6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right" vertical="center"/>
    </xf>
    <xf numFmtId="168" fontId="4" fillId="2" borderId="16" xfId="0" applyNumberFormat="1" applyFont="1" applyFill="1" applyBorder="1" applyAlignment="1">
      <alignment horizontal="right" vertical="center"/>
    </xf>
    <xf numFmtId="168" fontId="4" fillId="2" borderId="17" xfId="0" applyNumberFormat="1" applyFont="1" applyFill="1" applyBorder="1" applyAlignment="1">
      <alignment horizontal="right" vertical="center"/>
    </xf>
    <xf numFmtId="168" fontId="4" fillId="0" borderId="17" xfId="0" applyNumberFormat="1" applyFont="1" applyBorder="1" applyAlignment="1">
      <alignment vertical="center"/>
    </xf>
    <xf numFmtId="168" fontId="4" fillId="0" borderId="17" xfId="2" applyNumberFormat="1" applyFont="1" applyBorder="1" applyAlignment="1">
      <alignment vertical="center"/>
    </xf>
    <xf numFmtId="9" fontId="4" fillId="0" borderId="18" xfId="2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right" vertical="center"/>
    </xf>
    <xf numFmtId="1" fontId="10" fillId="0" borderId="19" xfId="0" applyNumberFormat="1" applyFont="1" applyBorder="1" applyAlignment="1">
      <alignment horizontal="right" vertical="center"/>
    </xf>
    <xf numFmtId="2" fontId="4" fillId="0" borderId="19" xfId="0" applyNumberFormat="1" applyFont="1" applyBorder="1" applyAlignment="1">
      <alignment vertical="center"/>
    </xf>
    <xf numFmtId="0" fontId="4" fillId="0" borderId="26" xfId="0" applyFont="1" applyBorder="1" applyAlignment="1">
      <alignment horizontal="left" vertical="center" wrapText="1" indent="1"/>
    </xf>
    <xf numFmtId="0" fontId="4" fillId="0" borderId="26" xfId="0" applyFont="1" applyBorder="1" applyAlignment="1">
      <alignment horizontal="right" vertical="center"/>
    </xf>
    <xf numFmtId="165" fontId="4" fillId="0" borderId="34" xfId="0" applyNumberFormat="1" applyFont="1" applyBorder="1" applyAlignment="1">
      <alignment vertical="center"/>
    </xf>
    <xf numFmtId="165" fontId="4" fillId="0" borderId="29" xfId="0" applyNumberFormat="1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65" fontId="4" fillId="0" borderId="24" xfId="0" applyNumberFormat="1" applyFont="1" applyBorder="1" applyAlignment="1">
      <alignment horizontal="right" vertical="center" wrapText="1"/>
    </xf>
    <xf numFmtId="165" fontId="4" fillId="0" borderId="19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8" fontId="4" fillId="2" borderId="0" xfId="0" applyNumberFormat="1" applyFont="1" applyFill="1" applyAlignment="1">
      <alignment horizontal="right" vertical="center"/>
    </xf>
    <xf numFmtId="168" fontId="4" fillId="0" borderId="0" xfId="0" applyNumberFormat="1" applyFont="1" applyAlignment="1">
      <alignment vertical="center"/>
    </xf>
    <xf numFmtId="168" fontId="4" fillId="0" borderId="0" xfId="2" applyNumberFormat="1" applyFont="1" applyBorder="1" applyAlignment="1">
      <alignment vertical="center"/>
    </xf>
    <xf numFmtId="9" fontId="4" fillId="0" borderId="0" xfId="2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165" fontId="4" fillId="0" borderId="19" xfId="0" applyNumberFormat="1" applyFont="1" applyBorder="1" applyAlignment="1">
      <alignment horizontal="right"/>
    </xf>
    <xf numFmtId="2" fontId="4" fillId="0" borderId="0" xfId="0" applyNumberFormat="1" applyFont="1" applyAlignment="1">
      <alignment vertical="center"/>
    </xf>
    <xf numFmtId="168" fontId="4" fillId="0" borderId="24" xfId="0" applyNumberFormat="1" applyFont="1" applyBorder="1" applyAlignment="1">
      <alignment horizontal="right" vertical="center" wrapText="1"/>
    </xf>
    <xf numFmtId="165" fontId="4" fillId="0" borderId="19" xfId="2" applyNumberFormat="1" applyFont="1" applyBorder="1" applyAlignment="1">
      <alignment vertical="center"/>
    </xf>
    <xf numFmtId="168" fontId="4" fillId="2" borderId="37" xfId="0" applyNumberFormat="1" applyFont="1" applyFill="1" applyBorder="1" applyAlignment="1">
      <alignment horizontal="right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32" xfId="0" applyFont="1" applyBorder="1" applyAlignment="1">
      <alignment horizontal="left" vertical="center" wrapText="1" indent="1"/>
    </xf>
    <xf numFmtId="0" fontId="4" fillId="0" borderId="32" xfId="0" applyFont="1" applyBorder="1" applyAlignment="1">
      <alignment horizontal="right" vertical="center"/>
    </xf>
    <xf numFmtId="165" fontId="4" fillId="0" borderId="38" xfId="0" applyNumberFormat="1" applyFont="1" applyBorder="1" applyAlignment="1">
      <alignment vertical="center"/>
    </xf>
    <xf numFmtId="165" fontId="4" fillId="0" borderId="10" xfId="2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8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/>
    </xf>
    <xf numFmtId="49" fontId="4" fillId="0" borderId="22" xfId="0" applyNumberFormat="1" applyFont="1" applyBorder="1" applyAlignment="1">
      <alignment horizontal="left" vertical="center" wrapText="1"/>
    </xf>
    <xf numFmtId="49" fontId="4" fillId="0" borderId="32" xfId="0" applyNumberFormat="1" applyFont="1" applyBorder="1" applyAlignment="1">
      <alignment horizontal="left" vertical="center" wrapText="1"/>
    </xf>
    <xf numFmtId="0" fontId="4" fillId="0" borderId="38" xfId="0" applyFont="1" applyBorder="1" applyAlignment="1">
      <alignment vertical="center"/>
    </xf>
    <xf numFmtId="0" fontId="4" fillId="0" borderId="17" xfId="0" applyFont="1" applyBorder="1"/>
    <xf numFmtId="0" fontId="4" fillId="0" borderId="1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9" fontId="4" fillId="0" borderId="2" xfId="2" applyFont="1" applyBorder="1" applyAlignment="1">
      <alignment horizontal="center" vertical="center"/>
    </xf>
    <xf numFmtId="164" fontId="4" fillId="0" borderId="43" xfId="2" applyNumberFormat="1" applyFont="1" applyBorder="1" applyAlignment="1">
      <alignment horizontal="center" vertical="center"/>
    </xf>
    <xf numFmtId="164" fontId="4" fillId="0" borderId="44" xfId="2" applyNumberFormat="1" applyFont="1" applyBorder="1" applyAlignment="1">
      <alignment vertical="center"/>
    </xf>
    <xf numFmtId="9" fontId="4" fillId="0" borderId="44" xfId="2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2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center" vertical="center" wrapText="1"/>
    </xf>
    <xf numFmtId="9" fontId="4" fillId="0" borderId="22" xfId="2" applyFont="1" applyBorder="1" applyAlignment="1">
      <alignment horizontal="center" vertical="center"/>
    </xf>
    <xf numFmtId="11" fontId="4" fillId="0" borderId="22" xfId="0" applyNumberFormat="1" applyFont="1" applyBorder="1" applyAlignment="1">
      <alignment vertical="center" wrapText="1"/>
    </xf>
    <xf numFmtId="11" fontId="4" fillId="0" borderId="22" xfId="0" applyNumberFormat="1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11" fontId="4" fillId="0" borderId="22" xfId="0" applyNumberFormat="1" applyFont="1" applyBorder="1" applyAlignment="1">
      <alignment horizontal="left" vertical="center" wrapText="1" indent="2"/>
    </xf>
    <xf numFmtId="0" fontId="4" fillId="0" borderId="22" xfId="0" applyFont="1" applyBorder="1" applyAlignment="1">
      <alignment horizontal="left" vertical="center" wrapText="1" indent="2"/>
    </xf>
    <xf numFmtId="0" fontId="4" fillId="3" borderId="19" xfId="0" applyFont="1" applyFill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top" wrapText="1" indent="2"/>
    </xf>
    <xf numFmtId="0" fontId="4" fillId="0" borderId="22" xfId="0" applyFont="1" applyBorder="1" applyAlignment="1">
      <alignment horizontal="left" vertical="center" indent="2"/>
    </xf>
    <xf numFmtId="0" fontId="0" fillId="0" borderId="19" xfId="0" applyBorder="1" applyAlignment="1">
      <alignment vertical="center"/>
    </xf>
    <xf numFmtId="49" fontId="4" fillId="0" borderId="22" xfId="0" applyNumberFormat="1" applyFont="1" applyBorder="1" applyAlignment="1">
      <alignment horizontal="left" vertical="center" wrapText="1" indent="2"/>
    </xf>
    <xf numFmtId="165" fontId="4" fillId="0" borderId="22" xfId="0" applyNumberFormat="1" applyFont="1" applyBorder="1" applyAlignment="1">
      <alignment horizontal="right" vertical="center"/>
    </xf>
    <xf numFmtId="164" fontId="4" fillId="0" borderId="22" xfId="2" applyNumberFormat="1" applyFont="1" applyBorder="1" applyAlignment="1">
      <alignment horizontal="right" vertical="center"/>
    </xf>
    <xf numFmtId="9" fontId="4" fillId="0" borderId="22" xfId="2" applyFont="1" applyBorder="1" applyAlignment="1">
      <alignment horizontal="right" vertical="center"/>
    </xf>
    <xf numFmtId="166" fontId="4" fillId="0" borderId="22" xfId="0" applyNumberFormat="1" applyFont="1" applyBorder="1" applyAlignment="1">
      <alignment horizontal="right" vertical="center"/>
    </xf>
    <xf numFmtId="1" fontId="4" fillId="0" borderId="22" xfId="0" applyNumberFormat="1" applyFont="1" applyBorder="1" applyAlignment="1">
      <alignment horizontal="right" vertical="center"/>
    </xf>
    <xf numFmtId="1" fontId="4" fillId="0" borderId="25" xfId="0" applyNumberFormat="1" applyFont="1" applyBorder="1" applyAlignment="1">
      <alignment horizontal="right" vertical="center"/>
    </xf>
    <xf numFmtId="0" fontId="4" fillId="0" borderId="32" xfId="0" applyFont="1" applyBorder="1" applyAlignment="1">
      <alignment horizontal="left" vertical="center" wrapText="1" indent="2"/>
    </xf>
    <xf numFmtId="0" fontId="4" fillId="0" borderId="47" xfId="0" applyFont="1" applyBorder="1" applyAlignment="1">
      <alignment horizontal="center" vertical="center"/>
    </xf>
    <xf numFmtId="9" fontId="4" fillId="0" borderId="10" xfId="2" applyFont="1" applyBorder="1" applyAlignment="1">
      <alignment vertical="center"/>
    </xf>
    <xf numFmtId="9" fontId="4" fillId="0" borderId="11" xfId="2" applyFont="1" applyBorder="1" applyAlignment="1">
      <alignment vertical="center"/>
    </xf>
    <xf numFmtId="49" fontId="4" fillId="0" borderId="0" xfId="0" applyNumberFormat="1" applyFont="1" applyAlignment="1">
      <alignment vertical="center" wrapText="1"/>
    </xf>
    <xf numFmtId="0" fontId="11" fillId="0" borderId="0" xfId="6" applyFont="1" applyAlignment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" fillId="0" borderId="0" xfId="3" applyAlignment="1">
      <alignment horizontal="center"/>
    </xf>
    <xf numFmtId="0" fontId="2" fillId="0" borderId="0" xfId="0" applyFont="1" applyAlignment="1">
      <alignment horizontal="center" vertical="center"/>
    </xf>
    <xf numFmtId="0" fontId="13" fillId="0" borderId="0" xfId="6" applyFont="1" applyAlignment="1">
      <alignment vertical="center" wrapText="1"/>
    </xf>
    <xf numFmtId="0" fontId="3" fillId="0" borderId="0" xfId="3" applyBorder="1" applyAlignment="1">
      <alignment horizontal="left" vertical="center"/>
    </xf>
    <xf numFmtId="0" fontId="13" fillId="0" borderId="0" xfId="6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3" applyBorder="1" applyAlignment="1">
      <alignment horizontal="left" vertical="center" wrapText="1"/>
    </xf>
    <xf numFmtId="0" fontId="3" fillId="0" borderId="0" xfId="3"/>
    <xf numFmtId="0" fontId="14" fillId="0" borderId="0" xfId="0" applyFont="1" applyAlignment="1">
      <alignment horizontal="center" vertical="center"/>
    </xf>
    <xf numFmtId="0" fontId="15" fillId="0" borderId="0" xfId="8" applyFont="1" applyAlignment="1">
      <alignment vertical="top"/>
    </xf>
    <xf numFmtId="0" fontId="48" fillId="0" borderId="0" xfId="8" applyAlignment="1">
      <alignment vertical="top"/>
    </xf>
    <xf numFmtId="0" fontId="48" fillId="0" borderId="0" xfId="8"/>
    <xf numFmtId="0" fontId="17" fillId="4" borderId="0" xfId="8" applyFont="1" applyFill="1" applyAlignment="1">
      <alignment vertical="top"/>
    </xf>
    <xf numFmtId="0" fontId="15" fillId="4" borderId="0" xfId="8" applyFont="1" applyFill="1" applyAlignment="1">
      <alignment vertical="top"/>
    </xf>
    <xf numFmtId="0" fontId="48" fillId="4" borderId="0" xfId="8" applyFill="1" applyAlignment="1">
      <alignment vertical="top"/>
    </xf>
    <xf numFmtId="0" fontId="19" fillId="4" borderId="0" xfId="8" applyFont="1" applyFill="1" applyAlignment="1">
      <alignment vertical="top"/>
    </xf>
    <xf numFmtId="0" fontId="20" fillId="4" borderId="0" xfId="8" applyFont="1" applyFill="1" applyAlignment="1">
      <alignment vertical="top"/>
    </xf>
    <xf numFmtId="0" fontId="21" fillId="4" borderId="0" xfId="8" applyFont="1" applyFill="1" applyAlignment="1">
      <alignment vertical="top"/>
    </xf>
    <xf numFmtId="0" fontId="22" fillId="4" borderId="0" xfId="8" applyFont="1" applyFill="1" applyAlignment="1">
      <alignment vertical="top"/>
    </xf>
    <xf numFmtId="0" fontId="23" fillId="4" borderId="0" xfId="8" applyFont="1" applyFill="1" applyAlignment="1">
      <alignment vertical="top"/>
    </xf>
    <xf numFmtId="0" fontId="24" fillId="4" borderId="0" xfId="8" applyFont="1" applyFill="1" applyAlignment="1">
      <alignment horizontal="right" vertical="center"/>
    </xf>
    <xf numFmtId="0" fontId="25" fillId="6" borderId="0" xfId="8" applyFont="1" applyFill="1" applyAlignment="1">
      <alignment horizontal="center" vertical="center"/>
    </xf>
    <xf numFmtId="0" fontId="25" fillId="6" borderId="0" xfId="8" applyFont="1" applyFill="1"/>
    <xf numFmtId="0" fontId="26" fillId="5" borderId="0" xfId="8" applyFont="1" applyFill="1" applyAlignment="1">
      <alignment horizontal="center" vertical="center"/>
    </xf>
    <xf numFmtId="0" fontId="27" fillId="4" borderId="0" xfId="8" applyFont="1" applyFill="1" applyAlignment="1">
      <alignment horizontal="right" vertical="center"/>
    </xf>
    <xf numFmtId="0" fontId="28" fillId="5" borderId="0" xfId="8" applyFont="1" applyFill="1" applyAlignment="1">
      <alignment horizontal="center" vertical="center"/>
    </xf>
    <xf numFmtId="0" fontId="29" fillId="4" borderId="0" xfId="8" applyFont="1" applyFill="1" applyAlignment="1">
      <alignment vertical="top"/>
    </xf>
    <xf numFmtId="0" fontId="25" fillId="6" borderId="0" xfId="8" applyFont="1" applyFill="1" applyAlignment="1">
      <alignment horizontal="center"/>
    </xf>
    <xf numFmtId="0" fontId="30" fillId="6" borderId="0" xfId="8" applyFont="1" applyFill="1" applyAlignment="1">
      <alignment horizontal="center"/>
    </xf>
    <xf numFmtId="0" fontId="48" fillId="6" borderId="0" xfId="8" applyFill="1" applyAlignment="1">
      <alignment horizontal="center"/>
    </xf>
    <xf numFmtId="0" fontId="31" fillId="6" borderId="0" xfId="4" applyFill="1" applyAlignment="1" applyProtection="1"/>
    <xf numFmtId="0" fontId="32" fillId="4" borderId="0" xfId="8" applyFont="1" applyFill="1" applyAlignment="1">
      <alignment vertical="top"/>
    </xf>
    <xf numFmtId="0" fontId="33" fillId="6" borderId="0" xfId="8" applyFont="1" applyFill="1"/>
    <xf numFmtId="0" fontId="30" fillId="6" borderId="0" xfId="8" applyFont="1" applyFill="1" applyAlignment="1">
      <alignment horizontal="center" vertical="top" wrapText="1"/>
    </xf>
    <xf numFmtId="0" fontId="14" fillId="6" borderId="0" xfId="8" applyFont="1" applyFill="1" applyAlignment="1">
      <alignment horizontal="center" vertical="top" wrapText="1"/>
    </xf>
    <xf numFmtId="0" fontId="34" fillId="4" borderId="0" xfId="8" applyFont="1" applyFill="1" applyAlignment="1">
      <alignment vertical="top"/>
    </xf>
    <xf numFmtId="0" fontId="35" fillId="6" borderId="0" xfId="8" applyFont="1" applyFill="1" applyAlignment="1">
      <alignment horizontal="left" vertical="center"/>
    </xf>
    <xf numFmtId="0" fontId="48" fillId="6" borderId="0" xfId="8" applyFill="1"/>
    <xf numFmtId="0" fontId="37" fillId="6" borderId="0" xfId="8" applyFont="1" applyFill="1" applyAlignment="1">
      <alignment vertical="top"/>
    </xf>
    <xf numFmtId="0" fontId="3" fillId="6" borderId="0" xfId="3" applyFill="1" applyAlignment="1" applyProtection="1">
      <alignment wrapText="1"/>
    </xf>
    <xf numFmtId="0" fontId="37" fillId="6" borderId="0" xfId="8" applyFont="1" applyFill="1" applyAlignment="1">
      <alignment vertical="center"/>
    </xf>
    <xf numFmtId="0" fontId="36" fillId="6" borderId="0" xfId="3" applyFont="1" applyFill="1" applyAlignment="1" applyProtection="1"/>
    <xf numFmtId="0" fontId="38" fillId="6" borderId="0" xfId="8" applyFont="1" applyFill="1" applyAlignment="1">
      <alignment horizontal="center"/>
    </xf>
    <xf numFmtId="0" fontId="34" fillId="4" borderId="0" xfId="8" applyFont="1" applyFill="1" applyAlignment="1">
      <alignment vertical="top" wrapText="1"/>
    </xf>
    <xf numFmtId="0" fontId="36" fillId="6" borderId="0" xfId="3" quotePrefix="1" applyFont="1" applyFill="1" applyAlignment="1" applyProtection="1">
      <alignment vertical="top" wrapText="1"/>
    </xf>
    <xf numFmtId="0" fontId="16" fillId="4" borderId="0" xfId="8" applyFont="1" applyFill="1" applyAlignment="1">
      <alignment horizontal="center" vertical="center" wrapText="1"/>
    </xf>
    <xf numFmtId="0" fontId="18" fillId="5" borderId="0" xfId="8" applyFont="1" applyFill="1" applyAlignment="1">
      <alignment horizontal="center" vertical="center"/>
    </xf>
    <xf numFmtId="0" fontId="28" fillId="5" borderId="0" xfId="8" applyFont="1" applyFill="1" applyAlignment="1">
      <alignment horizontal="left" vertical="center" indent="4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9" fillId="7" borderId="0" xfId="8" applyFont="1" applyFill="1" applyAlignment="1">
      <alignment horizontal="center" vertical="top"/>
    </xf>
  </cellXfs>
  <cellStyles count="9">
    <cellStyle name="Гиперссылка" xfId="3" builtinId="8"/>
    <cellStyle name="Гиперссылка 2" xfId="4" xr:uid="{00000000-0005-0000-0000-000031000000}"/>
    <cellStyle name="Гиперссылка 3" xfId="5" xr:uid="{00000000-0005-0000-0000-000032000000}"/>
    <cellStyle name="Обычный" xfId="0" builtinId="0"/>
    <cellStyle name="Обычный 2" xfId="6" xr:uid="{00000000-0005-0000-0000-000033000000}"/>
    <cellStyle name="Обычный 3" xfId="7" xr:uid="{00000000-0005-0000-0000-000034000000}"/>
    <cellStyle name="Обычный 5 2" xfId="8" xr:uid="{00000000-0005-0000-0000-000035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279399</xdr:colOff>
      <xdr:row>5</xdr:row>
      <xdr:rowOff>19050</xdr:rowOff>
    </xdr:from>
    <xdr:to>
      <xdr:col>0</xdr:col>
      <xdr:colOff>1860590</xdr:colOff>
      <xdr:row>8</xdr:row>
      <xdr:rowOff>31750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765" y="1356360"/>
          <a:ext cx="1581785" cy="78994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lbox/Mailbox/&#1084;&#1080;&#1085;&#1101;&#1082;&#1086;&#1085;&#1086;&#1084;&#1080;&#1082;&#1080;/2023/&#1054;&#1090;&#1095;&#1077;&#1090;%20&#1095;1/&#1092;&#1072;&#1082;&#1090;&#1086;&#1088;&#1099;%20&#1052;&#1080;&#1085;&#1101;&#1082;&#1086;&#1085;/&#1045;&#1058;&#1069;&#1041;-1.xlsx" TargetMode="External"/><Relationship Id="rId1" Type="http://schemas.openxmlformats.org/officeDocument/2006/relationships/externalLinkPath" Target="/Mailbox/Mailbox/&#1084;&#1080;&#1085;&#1101;&#1082;&#1086;&#1085;&#1086;&#1084;&#1080;&#1082;&#1080;/2023/&#1054;&#1090;&#1095;&#1077;&#1090;%20&#1095;1/&#1092;&#1072;&#1082;&#1090;&#1086;&#1088;&#1099;%20&#1052;&#1080;&#1085;&#1101;&#1082;&#1086;&#1085;/&#1045;&#1058;&#1069;&#1041;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Содержание"/>
      <sheetName val="технол. фактор"/>
      <sheetName val="ЭЭ-Ф"/>
      <sheetName val="ТЭ-Ф"/>
      <sheetName val="ДОБ.ПРОМ-Ф"/>
      <sheetName val="ОБР.ПРОМ-Ф"/>
      <sheetName val="СХ-Ф"/>
      <sheetName val="ТРАН-Ф"/>
      <sheetName val="СФУ-Ф"/>
      <sheetName val="НАС-Ф"/>
      <sheetName val="факторы ПГ"/>
      <sheetName val="ЭЭ-ФПГ"/>
      <sheetName val="ТЭ-ФПГ"/>
      <sheetName val="ДОБ.ПРОМ-ФПГ"/>
      <sheetName val="ОБР.ПРОМ-ФПГ"/>
      <sheetName val="СХ-ФПГ"/>
      <sheetName val="ТРАН-ФПГ"/>
      <sheetName val="СФУ-ФПГ"/>
      <sheetName val="НАС-ФПГ"/>
      <sheetName val="ЭЭ и ТЭ"/>
      <sheetName val="Промыш"/>
      <sheetName val="С. х-во"/>
      <sheetName val="Транспорт"/>
      <sheetName val="Стр-во и К-б"/>
      <sheetName val="Сф.услуг"/>
      <sheetName val="Население"/>
      <sheetName val="ЕТЭБ"/>
      <sheetName val="Эк. акт"/>
      <sheetName val="Эл-бал."/>
      <sheetName val="1-Натура"/>
      <sheetName val="1-ТЕП"/>
      <sheetName val="4Т-АРТ-3"/>
      <sheetName val="4Т-АРТ4"/>
      <sheetName val="4Т-APT 1и2"/>
      <sheetName val="6-ТП"/>
      <sheetName val="22-ЖКХ"/>
      <sheetName val="Техники"/>
      <sheetName val="ГСОП"/>
      <sheetName val="Благоустройство"/>
      <sheetName val="Таможня"/>
      <sheetName val="80с 6ф"/>
      <sheetName val="80с 3ф"/>
      <sheetName val="16с 3ф"/>
      <sheetName val="80с 7ф ПГ"/>
      <sheetName val="80с 4ф ПГ"/>
      <sheetName val="16с 4ф ПГ"/>
      <sheetName val="косвенн"/>
      <sheetName val="ППИП-ФПГ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arant.ru/products/ipo/prime/doc/402894476/" TargetMode="External"/><Relationship Id="rId2" Type="http://schemas.openxmlformats.org/officeDocument/2006/relationships/hyperlink" Target="https://www.garant.ru/products/ipo/prime/doc/405963845/" TargetMode="External"/><Relationship Id="rId1" Type="http://schemas.openxmlformats.org/officeDocument/2006/relationships/hyperlink" Target="https://www.garant.ru/products/ipo/prime/doc/74142592/" TargetMode="External"/><Relationship Id="rId5" Type="http://schemas.openxmlformats.org/officeDocument/2006/relationships/hyperlink" Target="https://cenef-xxi.ru/uploads/Roadmaps_46ea8e9def.pdf" TargetMode="External"/><Relationship Id="rId4" Type="http://schemas.openxmlformats.org/officeDocument/2006/relationships/hyperlink" Target="https://decarbon.ru/wp-content/uploads/2022/09/2022-02-10-%D0%BF%D1%80%D0%BE%D0%B5%D0%BA%D1%82-%D0%9E%D0%BF%D0%B5%D1%80%D0%B0%D1%86%D0%B8%D0%BE%D0%BD%D0%BD%D1%8B%D0%B9-%D0%BF%D0%BB%D0%B0%D0%BD-%D0%A1%D0%9D%D0%A3%D0%A0-2050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abSelected="1" workbookViewId="0">
      <selection activeCell="A2" sqref="A2:F2"/>
    </sheetView>
  </sheetViews>
  <sheetFormatPr defaultColWidth="9" defaultRowHeight="14.5"/>
  <cols>
    <col min="1" max="1" width="57.08984375" style="241" customWidth="1"/>
    <col min="2" max="2" width="34.90625" style="241" customWidth="1"/>
    <col min="3" max="3" width="18.81640625" style="241" customWidth="1"/>
    <col min="4" max="4" width="15.81640625" style="241" customWidth="1"/>
    <col min="5" max="5" width="20.453125" style="241" customWidth="1"/>
    <col min="6" max="6" width="10.453125" style="241" customWidth="1"/>
    <col min="7" max="7" width="48.08984375" style="241" customWidth="1"/>
    <col min="8" max="8" width="9" style="241"/>
    <col min="9" max="9" width="9" style="241" hidden="1" customWidth="1"/>
    <col min="10" max="16384" width="9" style="241"/>
  </cols>
  <sheetData>
    <row r="1" spans="1:16" ht="24.5">
      <c r="A1" s="287" t="s">
        <v>467</v>
      </c>
      <c r="B1" s="287"/>
      <c r="C1" s="287"/>
      <c r="D1" s="287"/>
      <c r="E1" s="287"/>
      <c r="F1" s="287"/>
      <c r="G1" s="244"/>
      <c r="H1" s="244"/>
      <c r="I1" s="244"/>
      <c r="J1" s="244"/>
      <c r="K1" s="244"/>
      <c r="L1" s="244"/>
      <c r="M1" s="244"/>
      <c r="N1" s="244"/>
      <c r="O1" s="244"/>
      <c r="P1" s="244"/>
    </row>
    <row r="2" spans="1:16" s="239" customFormat="1" ht="51.9" customHeight="1">
      <c r="A2" s="275" t="s">
        <v>0</v>
      </c>
      <c r="B2" s="275"/>
      <c r="C2" s="275"/>
      <c r="D2" s="275"/>
      <c r="E2" s="275"/>
      <c r="F2" s="275"/>
      <c r="G2" s="242"/>
      <c r="H2" s="242"/>
      <c r="I2" s="242"/>
      <c r="J2" s="242"/>
      <c r="K2" s="242"/>
      <c r="L2" s="242"/>
      <c r="M2" s="242"/>
      <c r="N2" s="242"/>
      <c r="O2" s="243"/>
      <c r="P2" s="243"/>
    </row>
    <row r="3" spans="1:16" s="240" customFormat="1">
      <c r="A3" s="244"/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</row>
    <row r="4" spans="1:16" s="240" customFormat="1" ht="22">
      <c r="A4" s="276" t="s">
        <v>1</v>
      </c>
      <c r="B4" s="276"/>
      <c r="C4" s="276"/>
      <c r="D4" s="276"/>
      <c r="E4" s="276"/>
      <c r="F4" s="276"/>
      <c r="G4" s="242"/>
      <c r="H4" s="245"/>
      <c r="I4" s="244" t="s">
        <v>2</v>
      </c>
      <c r="J4" s="245"/>
      <c r="K4" s="245"/>
      <c r="L4" s="246"/>
      <c r="M4" s="246"/>
      <c r="N4" s="244"/>
      <c r="O4" s="244"/>
      <c r="P4" s="244"/>
    </row>
    <row r="5" spans="1:16" s="240" customFormat="1" ht="18">
      <c r="A5" s="247"/>
      <c r="B5" s="247"/>
      <c r="C5" s="248"/>
      <c r="D5" s="249"/>
      <c r="E5" s="248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</row>
    <row r="6" spans="1:16" s="240" customFormat="1" ht="20.5">
      <c r="A6" s="250" t="s">
        <v>3</v>
      </c>
      <c r="B6" s="251" t="s">
        <v>4</v>
      </c>
      <c r="C6" s="252"/>
      <c r="D6" s="253"/>
      <c r="E6" s="253"/>
      <c r="F6" s="253"/>
      <c r="G6" s="244"/>
      <c r="H6" s="244"/>
      <c r="I6" s="244" t="s">
        <v>4</v>
      </c>
      <c r="J6" s="244"/>
      <c r="K6" s="244"/>
      <c r="L6" s="244"/>
      <c r="M6" s="244"/>
      <c r="N6" s="244"/>
      <c r="O6" s="244"/>
      <c r="P6" s="244"/>
    </row>
    <row r="7" spans="1:16" s="240" customFormat="1" ht="20.5">
      <c r="A7" s="254" t="s">
        <v>5</v>
      </c>
      <c r="B7" s="255">
        <v>13</v>
      </c>
      <c r="C7" s="252"/>
      <c r="D7" s="253"/>
      <c r="E7" s="253"/>
      <c r="F7" s="253"/>
      <c r="G7" s="248"/>
      <c r="H7" s="248"/>
      <c r="I7" s="244">
        <v>15</v>
      </c>
      <c r="J7" s="244"/>
      <c r="K7" s="244"/>
      <c r="L7" s="244"/>
      <c r="M7" s="244"/>
      <c r="N7" s="244"/>
      <c r="O7" s="244"/>
      <c r="P7" s="244"/>
    </row>
    <row r="8" spans="1:16" s="240" customFormat="1" ht="20.5">
      <c r="A8" s="254" t="s">
        <v>6</v>
      </c>
      <c r="B8" s="255">
        <v>18</v>
      </c>
      <c r="C8" s="252"/>
      <c r="D8" s="253"/>
      <c r="E8" s="253"/>
      <c r="F8" s="253"/>
      <c r="G8" s="248"/>
      <c r="H8" s="248"/>
      <c r="I8" s="244" t="s">
        <v>7</v>
      </c>
      <c r="J8" s="244"/>
      <c r="K8" s="244"/>
      <c r="L8" s="244"/>
      <c r="M8" s="244"/>
      <c r="N8" s="244"/>
      <c r="O8" s="244"/>
      <c r="P8" s="244"/>
    </row>
    <row r="9" spans="1:16" s="240" customFormat="1" ht="20.5">
      <c r="A9" s="254" t="s">
        <v>8</v>
      </c>
      <c r="B9" s="277" t="s">
        <v>9</v>
      </c>
      <c r="C9" s="277"/>
      <c r="D9" s="277"/>
      <c r="E9" s="253"/>
      <c r="F9" s="253"/>
      <c r="G9" s="244"/>
      <c r="H9" s="244"/>
      <c r="I9" s="244" t="s">
        <v>10</v>
      </c>
      <c r="J9" s="244"/>
      <c r="K9" s="244"/>
      <c r="L9" s="244"/>
      <c r="M9" s="244"/>
      <c r="N9" s="244"/>
      <c r="O9" s="244"/>
      <c r="P9" s="244"/>
    </row>
    <row r="10" spans="1:16" s="240" customFormat="1" ht="15.5">
      <c r="A10" s="256"/>
      <c r="B10" s="256"/>
      <c r="C10" s="256"/>
      <c r="D10" s="256"/>
      <c r="E10" s="256"/>
      <c r="F10" s="256"/>
      <c r="G10" s="244"/>
      <c r="H10" s="244"/>
      <c r="I10" s="244">
        <f>A52</f>
        <v>0</v>
      </c>
      <c r="J10" s="244"/>
      <c r="K10" s="244"/>
      <c r="L10" s="244"/>
      <c r="M10" s="244"/>
      <c r="N10" s="244"/>
      <c r="O10" s="244"/>
      <c r="P10" s="244"/>
    </row>
    <row r="11" spans="1:16" s="240" customFormat="1" ht="57.65" customHeight="1">
      <c r="A11" s="256"/>
      <c r="B11" s="256"/>
      <c r="C11" s="256"/>
      <c r="D11" s="256"/>
      <c r="E11" s="256"/>
      <c r="F11" s="256"/>
      <c r="G11" s="244"/>
      <c r="H11" s="244"/>
      <c r="I11" s="244"/>
      <c r="J11" s="244"/>
      <c r="K11" s="244"/>
      <c r="L11" s="244"/>
      <c r="M11" s="244"/>
      <c r="N11" s="244"/>
      <c r="O11" s="244"/>
      <c r="P11" s="244"/>
    </row>
    <row r="12" spans="1:16" s="240" customFormat="1" ht="22">
      <c r="A12" s="257" t="s">
        <v>11</v>
      </c>
      <c r="B12" s="258" t="s">
        <v>12</v>
      </c>
      <c r="C12" s="259"/>
      <c r="D12" s="259"/>
      <c r="E12" s="260"/>
      <c r="F12" s="260"/>
      <c r="G12" s="261"/>
      <c r="H12" s="261"/>
      <c r="I12" s="261"/>
      <c r="J12" s="244"/>
      <c r="K12" s="244"/>
      <c r="L12" s="244"/>
      <c r="M12" s="244"/>
      <c r="N12" s="244"/>
      <c r="O12" s="244"/>
      <c r="P12" s="244"/>
    </row>
    <row r="13" spans="1:16" ht="18.5">
      <c r="A13" s="262"/>
      <c r="B13" s="263" t="s">
        <v>13</v>
      </c>
      <c r="C13" s="264"/>
      <c r="D13" s="264"/>
      <c r="E13" s="260"/>
      <c r="F13" s="260"/>
      <c r="G13" s="265"/>
      <c r="H13" s="265"/>
      <c r="I13" s="265"/>
      <c r="J13" s="265"/>
      <c r="K13" s="265"/>
      <c r="L13" s="265"/>
      <c r="M13" s="244"/>
      <c r="N13" s="244"/>
      <c r="O13" s="244"/>
      <c r="P13" s="244"/>
    </row>
    <row r="14" spans="1:16">
      <c r="A14" s="260"/>
      <c r="B14" s="260"/>
      <c r="C14" s="260"/>
      <c r="D14" s="260"/>
      <c r="E14" s="260"/>
      <c r="F14" s="260"/>
      <c r="G14" s="265"/>
      <c r="H14" s="265"/>
      <c r="I14" s="265"/>
      <c r="J14" s="265"/>
      <c r="K14" s="265"/>
      <c r="L14" s="265"/>
      <c r="M14" s="244"/>
      <c r="N14" s="244"/>
      <c r="O14" s="244"/>
      <c r="P14" s="244"/>
    </row>
    <row r="15" spans="1:16">
      <c r="A15" s="266" t="s">
        <v>14</v>
      </c>
      <c r="B15" s="274" t="str">
        <f>Источники_Промышленность!A1</f>
        <v>Источники_Промышленность</v>
      </c>
      <c r="C15" s="267"/>
      <c r="D15" s="267"/>
      <c r="E15" s="260"/>
      <c r="F15" s="260"/>
      <c r="G15" s="265"/>
      <c r="H15" s="265"/>
      <c r="I15" s="265"/>
      <c r="J15" s="265"/>
      <c r="K15" s="265"/>
      <c r="L15" s="265"/>
      <c r="M15" s="244"/>
      <c r="N15" s="244"/>
      <c r="O15" s="244"/>
      <c r="P15" s="244"/>
    </row>
    <row r="16" spans="1:16" ht="12.65" customHeight="1">
      <c r="A16" s="268" t="s">
        <v>15</v>
      </c>
      <c r="B16" s="269" t="str">
        <f>Прогнозы_Промышленность!A1</f>
        <v>Прогнозы_Промышленность</v>
      </c>
      <c r="C16" s="267"/>
      <c r="D16" s="267"/>
      <c r="E16" s="260"/>
      <c r="F16" s="260"/>
      <c r="G16" s="265"/>
      <c r="H16" s="265"/>
      <c r="I16" s="265"/>
      <c r="J16" s="265"/>
      <c r="K16" s="265"/>
      <c r="L16" s="265"/>
      <c r="M16" s="244"/>
      <c r="N16" s="244"/>
      <c r="O16" s="244"/>
      <c r="P16" s="244"/>
    </row>
    <row r="17" spans="1:16">
      <c r="A17" s="270" t="s">
        <v>16</v>
      </c>
      <c r="B17" s="271" t="str">
        <f>Прогнозы_Промышленность_2!A1</f>
        <v>Прогнозы_Промышленность_2</v>
      </c>
      <c r="C17" s="267"/>
      <c r="D17" s="267"/>
      <c r="E17" s="260"/>
      <c r="F17" s="260"/>
      <c r="G17" s="265"/>
      <c r="H17" s="265"/>
      <c r="I17" s="265"/>
      <c r="J17" s="265"/>
      <c r="K17" s="265"/>
      <c r="L17" s="265"/>
      <c r="M17" s="244"/>
      <c r="N17" s="244"/>
      <c r="O17" s="244"/>
      <c r="P17" s="244"/>
    </row>
    <row r="18" spans="1:16">
      <c r="A18" s="272"/>
      <c r="B18" s="260"/>
      <c r="C18" s="267"/>
      <c r="D18" s="267"/>
      <c r="E18" s="260"/>
      <c r="F18" s="260"/>
      <c r="G18" s="265"/>
      <c r="H18" s="265"/>
      <c r="I18" s="265"/>
      <c r="J18" s="265"/>
      <c r="K18" s="265"/>
      <c r="L18" s="265"/>
      <c r="M18" s="244"/>
      <c r="N18" s="244"/>
      <c r="O18" s="244"/>
      <c r="P18" s="244"/>
    </row>
    <row r="19" spans="1:16">
      <c r="A19" s="265"/>
      <c r="B19" s="265"/>
      <c r="C19" s="265"/>
      <c r="D19" s="265"/>
      <c r="E19" s="265"/>
      <c r="F19" s="265"/>
      <c r="G19" s="265"/>
      <c r="H19" s="265"/>
      <c r="I19" s="265"/>
      <c r="J19" s="265"/>
      <c r="K19" s="265"/>
      <c r="L19" s="265"/>
      <c r="M19" s="244"/>
      <c r="N19" s="244"/>
      <c r="O19" s="244"/>
      <c r="P19" s="244"/>
    </row>
    <row r="20" spans="1:16">
      <c r="A20" s="265"/>
      <c r="B20" s="265"/>
      <c r="C20" s="265"/>
      <c r="D20" s="265"/>
      <c r="E20" s="265"/>
      <c r="F20" s="265"/>
      <c r="G20" s="265"/>
      <c r="H20" s="265"/>
      <c r="I20" s="265"/>
      <c r="J20" s="265"/>
      <c r="K20" s="265"/>
      <c r="L20" s="265"/>
      <c r="M20" s="244"/>
      <c r="N20" s="244"/>
      <c r="O20" s="244"/>
      <c r="P20" s="244"/>
    </row>
    <row r="21" spans="1:16">
      <c r="A21" s="265"/>
      <c r="B21" s="265"/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44"/>
      <c r="N21" s="244"/>
      <c r="O21" s="244"/>
      <c r="P21" s="244"/>
    </row>
    <row r="22" spans="1:16">
      <c r="A22" s="265"/>
      <c r="B22" s="265"/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44"/>
      <c r="N22" s="244"/>
      <c r="O22" s="244"/>
      <c r="P22" s="244"/>
    </row>
    <row r="23" spans="1:16">
      <c r="A23" s="265"/>
      <c r="B23" s="265"/>
      <c r="C23" s="265"/>
      <c r="D23" s="265"/>
      <c r="E23" s="265"/>
      <c r="F23" s="265"/>
      <c r="G23" s="265"/>
      <c r="H23" s="265"/>
      <c r="I23" s="265"/>
      <c r="J23" s="265"/>
      <c r="K23" s="265"/>
      <c r="L23" s="265"/>
      <c r="M23" s="244"/>
      <c r="N23" s="244"/>
      <c r="O23" s="244"/>
      <c r="P23" s="244"/>
    </row>
    <row r="24" spans="1:16">
      <c r="A24" s="265"/>
      <c r="B24" s="265"/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244"/>
      <c r="N24" s="244"/>
      <c r="O24" s="244"/>
      <c r="P24" s="244"/>
    </row>
    <row r="25" spans="1:16">
      <c r="A25" s="265"/>
      <c r="B25" s="265"/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44"/>
      <c r="N25" s="244"/>
      <c r="O25" s="244"/>
      <c r="P25" s="244"/>
    </row>
    <row r="26" spans="1:16">
      <c r="A26" s="265"/>
      <c r="B26" s="265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44"/>
      <c r="N26" s="244"/>
      <c r="O26" s="244"/>
      <c r="P26" s="244"/>
    </row>
    <row r="27" spans="1:16">
      <c r="A27" s="265"/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44"/>
      <c r="N27" s="244"/>
      <c r="O27" s="244"/>
      <c r="P27" s="244"/>
    </row>
    <row r="28" spans="1:16">
      <c r="A28" s="265"/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44"/>
      <c r="N28" s="244"/>
      <c r="O28" s="244"/>
      <c r="P28" s="244"/>
    </row>
    <row r="29" spans="1:16">
      <c r="A29" s="265"/>
      <c r="B29" s="265"/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44"/>
      <c r="N29" s="244"/>
      <c r="O29" s="244"/>
      <c r="P29" s="244"/>
    </row>
    <row r="30" spans="1:16">
      <c r="A30" s="265"/>
      <c r="B30" s="265"/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44"/>
      <c r="N30" s="244"/>
      <c r="O30" s="244"/>
      <c r="P30" s="244"/>
    </row>
    <row r="31" spans="1:16">
      <c r="A31" s="265"/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5"/>
      <c r="M31" s="244"/>
      <c r="N31" s="244"/>
      <c r="O31" s="244"/>
      <c r="P31" s="244"/>
    </row>
    <row r="32" spans="1:16">
      <c r="A32" s="265"/>
      <c r="B32" s="265"/>
      <c r="C32" s="265"/>
      <c r="D32" s="265"/>
      <c r="E32" s="265"/>
      <c r="F32" s="265"/>
      <c r="G32" s="265"/>
      <c r="H32" s="265"/>
      <c r="I32" s="265"/>
      <c r="J32" s="265"/>
      <c r="K32" s="265"/>
      <c r="L32" s="265"/>
      <c r="M32" s="244"/>
      <c r="N32" s="244"/>
      <c r="O32" s="244"/>
      <c r="P32" s="244"/>
    </row>
    <row r="33" spans="1:16">
      <c r="A33" s="265"/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44"/>
      <c r="N33" s="244"/>
      <c r="O33" s="244"/>
      <c r="P33" s="244"/>
    </row>
    <row r="34" spans="1:16">
      <c r="A34" s="265"/>
      <c r="B34" s="265"/>
      <c r="C34" s="265"/>
      <c r="D34" s="265"/>
      <c r="E34" s="265"/>
      <c r="F34" s="265"/>
      <c r="G34" s="265"/>
      <c r="H34" s="265"/>
      <c r="I34" s="265"/>
      <c r="J34" s="265"/>
      <c r="K34" s="265"/>
      <c r="L34" s="244"/>
      <c r="M34" s="244"/>
      <c r="N34" s="244"/>
      <c r="O34" s="244"/>
    </row>
    <row r="35" spans="1:16">
      <c r="A35" s="265"/>
      <c r="B35" s="265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44"/>
      <c r="N35" s="244"/>
      <c r="O35" s="244"/>
      <c r="P35" s="244"/>
    </row>
    <row r="36" spans="1:16">
      <c r="A36" s="265"/>
      <c r="B36" s="265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44"/>
      <c r="N36" s="244"/>
      <c r="O36" s="244"/>
      <c r="P36" s="244"/>
    </row>
    <row r="37" spans="1:16">
      <c r="A37" s="265"/>
      <c r="B37" s="265"/>
      <c r="C37" s="265"/>
      <c r="D37" s="265"/>
      <c r="E37" s="265"/>
      <c r="F37" s="265"/>
      <c r="G37" s="265"/>
      <c r="H37" s="265"/>
      <c r="I37" s="265"/>
      <c r="J37" s="265"/>
      <c r="K37" s="265"/>
      <c r="L37" s="265"/>
      <c r="M37" s="244"/>
      <c r="N37" s="244"/>
      <c r="O37" s="244"/>
      <c r="P37" s="244"/>
    </row>
    <row r="38" spans="1:16">
      <c r="A38" s="265"/>
      <c r="B38" s="265"/>
      <c r="C38" s="265"/>
      <c r="D38" s="265"/>
      <c r="E38" s="265"/>
      <c r="F38" s="265"/>
      <c r="G38" s="265"/>
      <c r="H38" s="265"/>
      <c r="I38" s="265"/>
      <c r="J38" s="265"/>
      <c r="K38" s="265"/>
      <c r="L38" s="265"/>
      <c r="M38" s="244"/>
      <c r="N38" s="244"/>
      <c r="O38" s="244"/>
      <c r="P38" s="244"/>
    </row>
    <row r="39" spans="1:16">
      <c r="A39" s="265"/>
      <c r="B39" s="265"/>
      <c r="C39" s="265"/>
      <c r="D39" s="265"/>
      <c r="E39" s="265"/>
      <c r="F39" s="265"/>
      <c r="G39" s="265"/>
      <c r="H39" s="265"/>
      <c r="I39" s="265"/>
      <c r="J39" s="265"/>
      <c r="K39" s="265"/>
      <c r="L39" s="265"/>
      <c r="M39" s="244"/>
      <c r="N39" s="244"/>
      <c r="O39" s="244"/>
      <c r="P39" s="244"/>
    </row>
    <row r="40" spans="1:16">
      <c r="A40" s="265"/>
      <c r="B40" s="265"/>
      <c r="C40" s="265"/>
      <c r="D40" s="265"/>
      <c r="E40" s="265"/>
      <c r="F40" s="265"/>
      <c r="G40" s="265"/>
      <c r="H40" s="265"/>
      <c r="I40" s="265"/>
      <c r="J40" s="265"/>
      <c r="K40" s="265"/>
      <c r="L40" s="265"/>
      <c r="M40" s="244"/>
      <c r="N40" s="244"/>
      <c r="O40" s="244"/>
      <c r="P40" s="244"/>
    </row>
    <row r="41" spans="1:16">
      <c r="A41" s="265"/>
      <c r="B41" s="265"/>
      <c r="C41" s="265"/>
      <c r="D41" s="265"/>
      <c r="E41" s="265"/>
      <c r="F41" s="265"/>
      <c r="G41" s="265"/>
      <c r="H41" s="265"/>
      <c r="I41" s="265"/>
      <c r="J41" s="265"/>
      <c r="K41" s="265"/>
      <c r="L41" s="265"/>
      <c r="M41" s="244"/>
      <c r="N41" s="244"/>
      <c r="O41" s="244"/>
      <c r="P41" s="244"/>
    </row>
    <row r="42" spans="1:16">
      <c r="A42" s="265"/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44"/>
      <c r="N42" s="244"/>
      <c r="O42" s="244"/>
      <c r="P42" s="244"/>
    </row>
    <row r="43" spans="1:16">
      <c r="A43" s="265"/>
      <c r="B43" s="265"/>
      <c r="C43" s="265"/>
      <c r="D43" s="265"/>
      <c r="E43" s="265"/>
      <c r="F43" s="265"/>
      <c r="G43" s="265"/>
      <c r="H43" s="265"/>
      <c r="I43" s="265"/>
      <c r="J43" s="265"/>
      <c r="K43" s="265"/>
      <c r="L43" s="265"/>
      <c r="M43" s="244"/>
      <c r="N43" s="244"/>
      <c r="O43" s="244"/>
      <c r="P43" s="244"/>
    </row>
    <row r="44" spans="1:16">
      <c r="A44" s="265"/>
      <c r="B44" s="265"/>
      <c r="C44" s="265"/>
      <c r="D44" s="265"/>
      <c r="E44" s="265"/>
      <c r="F44" s="265"/>
      <c r="G44" s="265"/>
      <c r="H44" s="265"/>
      <c r="I44" s="265"/>
      <c r="J44" s="265"/>
      <c r="K44" s="265"/>
      <c r="L44" s="265"/>
      <c r="M44" s="244"/>
      <c r="N44" s="244"/>
      <c r="O44" s="244"/>
      <c r="P44" s="244"/>
    </row>
    <row r="45" spans="1:16">
      <c r="A45" s="265"/>
      <c r="B45" s="265"/>
      <c r="C45" s="265"/>
      <c r="D45" s="265"/>
      <c r="E45" s="265"/>
      <c r="F45" s="265"/>
      <c r="G45" s="265"/>
      <c r="H45" s="265"/>
      <c r="I45" s="265"/>
      <c r="J45" s="265"/>
      <c r="K45" s="265"/>
      <c r="L45" s="265"/>
      <c r="M45" s="244"/>
      <c r="N45" s="244"/>
      <c r="O45" s="244"/>
      <c r="P45" s="244"/>
    </row>
    <row r="46" spans="1:16">
      <c r="A46" s="265"/>
      <c r="B46" s="265"/>
      <c r="C46" s="265"/>
      <c r="D46" s="265"/>
      <c r="E46" s="265"/>
      <c r="F46" s="265"/>
      <c r="G46" s="265"/>
      <c r="H46" s="265"/>
      <c r="I46" s="265"/>
      <c r="J46" s="265"/>
      <c r="K46" s="265"/>
      <c r="L46" s="265"/>
      <c r="M46" s="244"/>
      <c r="N46" s="244"/>
      <c r="O46" s="244"/>
      <c r="P46" s="244"/>
    </row>
    <row r="47" spans="1:16">
      <c r="A47" s="265"/>
      <c r="B47" s="265"/>
      <c r="C47" s="265"/>
      <c r="D47" s="265"/>
      <c r="E47" s="265"/>
      <c r="F47" s="265"/>
      <c r="G47" s="265"/>
      <c r="H47" s="265"/>
      <c r="I47" s="265"/>
      <c r="J47" s="265"/>
      <c r="K47" s="244"/>
      <c r="L47" s="244"/>
      <c r="M47" s="244"/>
      <c r="N47" s="244"/>
      <c r="O47" s="244"/>
      <c r="P47" s="244"/>
    </row>
    <row r="48" spans="1:16">
      <c r="A48" s="265"/>
      <c r="B48" s="265"/>
      <c r="C48" s="265"/>
      <c r="D48" s="265"/>
      <c r="E48" s="265"/>
      <c r="F48" s="265"/>
      <c r="G48" s="265"/>
      <c r="H48" s="265"/>
      <c r="I48" s="265"/>
      <c r="J48" s="265"/>
      <c r="K48" s="244"/>
      <c r="L48" s="244"/>
      <c r="M48" s="244"/>
      <c r="N48" s="244"/>
      <c r="O48" s="244"/>
      <c r="P48" s="244"/>
    </row>
    <row r="49" spans="1:16">
      <c r="A49" s="265"/>
      <c r="B49" s="265"/>
      <c r="C49" s="265"/>
      <c r="D49" s="265"/>
      <c r="E49" s="265"/>
      <c r="F49" s="265"/>
      <c r="G49" s="265"/>
      <c r="H49" s="265"/>
      <c r="I49" s="265"/>
      <c r="J49" s="265"/>
      <c r="K49" s="244"/>
      <c r="L49" s="244"/>
      <c r="M49" s="244"/>
      <c r="N49" s="244"/>
      <c r="O49" s="244"/>
      <c r="P49" s="244"/>
    </row>
    <row r="50" spans="1:16">
      <c r="A50" s="273"/>
      <c r="B50" s="273"/>
      <c r="C50" s="273"/>
      <c r="D50" s="273"/>
      <c r="E50" s="265"/>
      <c r="F50" s="265"/>
      <c r="G50" s="265"/>
      <c r="H50" s="265"/>
      <c r="I50" s="265"/>
      <c r="J50" s="265"/>
      <c r="K50" s="244"/>
      <c r="L50" s="244"/>
      <c r="M50" s="244"/>
      <c r="N50" s="244"/>
      <c r="O50" s="244"/>
      <c r="P50" s="244"/>
    </row>
    <row r="51" spans="1:16">
      <c r="A51" s="273"/>
      <c r="B51" s="273"/>
      <c r="C51" s="273"/>
      <c r="D51" s="273"/>
      <c r="E51" s="265"/>
      <c r="F51" s="265"/>
      <c r="G51" s="265"/>
      <c r="H51" s="265"/>
      <c r="I51" s="265"/>
      <c r="J51" s="265"/>
      <c r="K51" s="244"/>
      <c r="L51" s="244"/>
      <c r="M51" s="244"/>
      <c r="N51" s="244"/>
      <c r="O51" s="244"/>
      <c r="P51" s="244"/>
    </row>
    <row r="52" spans="1:16">
      <c r="A52" s="273"/>
      <c r="B52" s="273"/>
      <c r="C52" s="273"/>
      <c r="D52" s="273"/>
      <c r="E52" s="265"/>
      <c r="F52" s="265"/>
      <c r="G52" s="265"/>
      <c r="H52" s="265"/>
      <c r="I52" s="265"/>
      <c r="J52" s="265"/>
      <c r="K52" s="244"/>
      <c r="L52" s="244"/>
      <c r="M52" s="244"/>
      <c r="N52" s="244"/>
      <c r="O52" s="244"/>
      <c r="P52" s="244"/>
    </row>
    <row r="53" spans="1:16">
      <c r="A53" s="273"/>
      <c r="B53" s="273"/>
      <c r="C53" s="273"/>
      <c r="D53" s="273"/>
      <c r="E53" s="265"/>
      <c r="F53" s="265"/>
      <c r="G53" s="265"/>
      <c r="H53" s="265"/>
      <c r="I53" s="265"/>
      <c r="J53" s="265"/>
      <c r="K53" s="244"/>
      <c r="L53" s="244"/>
      <c r="M53" s="244"/>
      <c r="N53" s="244"/>
      <c r="O53" s="244"/>
      <c r="P53" s="244"/>
    </row>
    <row r="54" spans="1:16">
      <c r="A54" s="273"/>
      <c r="B54" s="273"/>
      <c r="C54" s="273"/>
      <c r="D54" s="273"/>
      <c r="E54" s="265"/>
      <c r="F54" s="265"/>
      <c r="G54" s="265"/>
      <c r="H54" s="265"/>
      <c r="I54" s="265"/>
      <c r="J54" s="265"/>
      <c r="K54" s="244"/>
      <c r="L54" s="244"/>
      <c r="M54" s="244"/>
      <c r="N54" s="244"/>
      <c r="O54" s="244"/>
      <c r="P54" s="244"/>
    </row>
    <row r="55" spans="1:16">
      <c r="A55" s="273"/>
      <c r="B55" s="273"/>
      <c r="C55" s="273"/>
      <c r="D55" s="273"/>
      <c r="E55" s="265"/>
      <c r="F55" s="265"/>
      <c r="G55" s="265"/>
      <c r="H55" s="265"/>
      <c r="I55" s="265"/>
      <c r="J55" s="265"/>
      <c r="K55" s="244"/>
      <c r="L55" s="244"/>
      <c r="M55" s="244"/>
      <c r="N55" s="244"/>
      <c r="O55" s="244"/>
      <c r="P55" s="244"/>
    </row>
    <row r="56" spans="1:16">
      <c r="A56" s="273"/>
      <c r="B56" s="273"/>
      <c r="C56" s="273"/>
      <c r="D56" s="273"/>
      <c r="E56" s="265"/>
      <c r="F56" s="265"/>
      <c r="G56" s="265"/>
      <c r="H56" s="265"/>
      <c r="I56" s="265"/>
      <c r="J56" s="265"/>
      <c r="K56" s="244"/>
      <c r="L56" s="244"/>
      <c r="M56" s="244"/>
      <c r="N56" s="244"/>
      <c r="O56" s="244"/>
      <c r="P56" s="244"/>
    </row>
    <row r="57" spans="1:16">
      <c r="A57" s="273"/>
      <c r="B57" s="273"/>
      <c r="C57" s="273"/>
      <c r="D57" s="273"/>
      <c r="E57" s="265"/>
      <c r="F57" s="265"/>
      <c r="G57" s="265"/>
      <c r="H57" s="265"/>
      <c r="I57" s="265"/>
      <c r="J57" s="265"/>
      <c r="K57" s="244"/>
      <c r="L57" s="244"/>
      <c r="M57" s="244"/>
      <c r="N57" s="244"/>
      <c r="O57" s="244"/>
      <c r="P57" s="244"/>
    </row>
    <row r="58" spans="1:16">
      <c r="A58" s="273"/>
      <c r="B58" s="273"/>
      <c r="C58" s="273"/>
      <c r="D58" s="273"/>
      <c r="E58" s="265"/>
      <c r="F58" s="265"/>
      <c r="G58" s="265"/>
      <c r="H58" s="265"/>
      <c r="I58" s="265"/>
      <c r="J58" s="265"/>
      <c r="K58" s="244"/>
      <c r="L58" s="244"/>
      <c r="M58" s="244"/>
      <c r="N58" s="244"/>
      <c r="O58" s="244"/>
      <c r="P58" s="244"/>
    </row>
    <row r="59" spans="1:16">
      <c r="A59" s="273"/>
      <c r="B59" s="273"/>
      <c r="C59" s="273"/>
      <c r="D59" s="273"/>
      <c r="E59" s="265"/>
      <c r="F59" s="265"/>
      <c r="G59" s="265"/>
      <c r="H59" s="265"/>
      <c r="I59" s="265"/>
      <c r="J59" s="265"/>
      <c r="K59" s="244"/>
      <c r="L59" s="244"/>
      <c r="M59" s="244"/>
      <c r="N59" s="244"/>
      <c r="O59" s="244"/>
      <c r="P59" s="244"/>
    </row>
    <row r="60" spans="1:16">
      <c r="A60" s="273"/>
      <c r="B60" s="273"/>
      <c r="C60" s="273"/>
      <c r="D60" s="273"/>
      <c r="E60" s="265"/>
      <c r="F60" s="265"/>
      <c r="G60" s="265"/>
      <c r="H60" s="265"/>
      <c r="I60" s="265"/>
      <c r="J60" s="265"/>
      <c r="K60" s="244"/>
      <c r="L60" s="244"/>
      <c r="M60" s="244"/>
      <c r="N60" s="244"/>
      <c r="O60" s="244"/>
      <c r="P60" s="244"/>
    </row>
    <row r="61" spans="1:16">
      <c r="A61" s="273"/>
      <c r="B61" s="273"/>
      <c r="C61" s="273"/>
      <c r="D61" s="273"/>
      <c r="E61" s="265"/>
      <c r="F61" s="265"/>
      <c r="G61" s="265"/>
      <c r="H61" s="265"/>
      <c r="I61" s="265"/>
      <c r="J61" s="265"/>
      <c r="K61" s="244"/>
      <c r="L61" s="244"/>
      <c r="M61" s="244"/>
      <c r="N61" s="244"/>
      <c r="O61" s="244"/>
      <c r="P61" s="244"/>
    </row>
    <row r="62" spans="1:16">
      <c r="A62" s="273"/>
      <c r="B62" s="273"/>
      <c r="C62" s="273"/>
      <c r="D62" s="273"/>
      <c r="E62" s="265"/>
      <c r="F62" s="265"/>
      <c r="G62" s="265"/>
      <c r="H62" s="265"/>
      <c r="I62" s="265"/>
      <c r="J62" s="265"/>
      <c r="K62" s="244"/>
      <c r="L62" s="244"/>
      <c r="M62" s="244"/>
      <c r="N62" s="244"/>
      <c r="O62" s="244"/>
      <c r="P62" s="244"/>
    </row>
    <row r="63" spans="1:16">
      <c r="A63" s="273"/>
      <c r="B63" s="273"/>
      <c r="C63" s="273"/>
      <c r="D63" s="273"/>
      <c r="E63" s="265"/>
      <c r="F63" s="265"/>
      <c r="G63" s="265"/>
      <c r="H63" s="265"/>
      <c r="I63" s="265"/>
      <c r="J63" s="265"/>
      <c r="K63" s="244"/>
      <c r="L63" s="244"/>
      <c r="M63" s="244"/>
      <c r="N63" s="244"/>
      <c r="O63" s="244"/>
      <c r="P63" s="244"/>
    </row>
    <row r="64" spans="1:16">
      <c r="A64" s="273"/>
      <c r="B64" s="273"/>
      <c r="C64" s="273"/>
      <c r="D64" s="273"/>
      <c r="E64" s="265"/>
      <c r="F64" s="265"/>
      <c r="G64" s="265"/>
      <c r="H64" s="265"/>
      <c r="I64" s="265"/>
      <c r="J64" s="265"/>
      <c r="K64" s="244"/>
      <c r="L64" s="244"/>
      <c r="M64" s="244"/>
      <c r="N64" s="244"/>
      <c r="O64" s="244"/>
      <c r="P64" s="244"/>
    </row>
    <row r="65" spans="1:16">
      <c r="A65" s="273"/>
      <c r="B65" s="273"/>
      <c r="C65" s="273"/>
      <c r="D65" s="273"/>
      <c r="E65" s="265"/>
      <c r="F65" s="265"/>
      <c r="G65" s="265"/>
      <c r="H65" s="265"/>
      <c r="I65" s="265"/>
      <c r="J65" s="265"/>
      <c r="K65" s="244"/>
      <c r="L65" s="244"/>
      <c r="M65" s="244"/>
      <c r="N65" s="244"/>
      <c r="O65" s="244"/>
      <c r="P65" s="244"/>
    </row>
    <row r="66" spans="1:16">
      <c r="A66" s="273"/>
      <c r="B66" s="273"/>
      <c r="C66" s="273"/>
      <c r="D66" s="273"/>
      <c r="E66" s="265"/>
      <c r="F66" s="265"/>
      <c r="G66" s="265"/>
      <c r="H66" s="265"/>
      <c r="I66" s="265"/>
      <c r="J66" s="265"/>
      <c r="K66" s="244"/>
      <c r="L66" s="244"/>
      <c r="M66" s="244"/>
      <c r="N66" s="244"/>
      <c r="O66" s="244"/>
      <c r="P66" s="244"/>
    </row>
    <row r="67" spans="1:16">
      <c r="A67" s="273"/>
      <c r="B67" s="273"/>
      <c r="C67" s="273"/>
      <c r="D67" s="273"/>
      <c r="E67" s="265"/>
      <c r="F67" s="265"/>
      <c r="G67" s="265"/>
      <c r="H67" s="265"/>
      <c r="I67" s="265"/>
      <c r="J67" s="265"/>
      <c r="K67" s="244"/>
      <c r="L67" s="244"/>
      <c r="M67" s="244"/>
      <c r="N67" s="244"/>
      <c r="O67" s="244"/>
      <c r="P67" s="244"/>
    </row>
  </sheetData>
  <mergeCells count="4">
    <mergeCell ref="A2:F2"/>
    <mergeCell ref="A4:F4"/>
    <mergeCell ref="B9:D9"/>
    <mergeCell ref="A1:F1"/>
  </mergeCells>
  <hyperlinks>
    <hyperlink ref="B16" location="Прогнозы_Промышленность!A1" display="=Прогнозы_Промышленность!A1" xr:uid="{00000000-0004-0000-0000-000000000000}"/>
    <hyperlink ref="B17" location="Прогнозы_Промышленность_2!A1" display="=Прогнозы_Промышленность_2!A1" xr:uid="{00000000-0004-0000-0000-000001000000}"/>
    <hyperlink ref="B15" location="Источники_Промышленность!A1" display="=Источники_Промышленность!A1" xr:uid="{00000000-0004-0000-0000-000002000000}"/>
  </hyperlinks>
  <pageMargins left="0.7" right="0.7" top="0.75" bottom="0.75" header="0.3" footer="0.3"/>
  <pageSetup paperSize="9" orientation="portrait" horizont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B8" sqref="B8"/>
    </sheetView>
  </sheetViews>
  <sheetFormatPr defaultColWidth="9" defaultRowHeight="14.5"/>
  <cols>
    <col min="2" max="2" width="119.81640625" customWidth="1"/>
    <col min="3" max="3" width="75.36328125" customWidth="1"/>
    <col min="4" max="4" width="23.453125" customWidth="1"/>
  </cols>
  <sheetData>
    <row r="1" spans="1:8" ht="14" customHeight="1">
      <c r="A1" s="226" t="s">
        <v>14</v>
      </c>
    </row>
    <row r="2" spans="1:8" ht="15.5">
      <c r="A2" s="227" t="s">
        <v>17</v>
      </c>
      <c r="B2" s="228" t="s">
        <v>18</v>
      </c>
      <c r="C2" s="227" t="s">
        <v>19</v>
      </c>
      <c r="D2" s="229" t="s">
        <v>20</v>
      </c>
    </row>
    <row r="3" spans="1:8" ht="45.65" customHeight="1">
      <c r="A3" s="230">
        <v>1</v>
      </c>
      <c r="B3" s="231" t="s">
        <v>21</v>
      </c>
      <c r="C3" s="232" t="s">
        <v>22</v>
      </c>
      <c r="D3" s="233"/>
      <c r="E3" s="233"/>
      <c r="F3" s="233"/>
      <c r="G3" s="233"/>
      <c r="H3" s="233"/>
    </row>
    <row r="4" spans="1:8" ht="36.65" customHeight="1">
      <c r="A4" s="230">
        <v>2</v>
      </c>
      <c r="B4" s="234" t="s">
        <v>23</v>
      </c>
      <c r="C4" s="232" t="s">
        <v>24</v>
      </c>
      <c r="D4" s="234"/>
      <c r="E4" s="234"/>
      <c r="F4" s="234"/>
      <c r="G4" s="234"/>
      <c r="H4" s="234"/>
    </row>
    <row r="5" spans="1:8" ht="15.5">
      <c r="A5" s="230">
        <v>3</v>
      </c>
      <c r="B5" s="234" t="s">
        <v>25</v>
      </c>
      <c r="C5" s="4"/>
      <c r="D5" s="235"/>
      <c r="E5" s="235"/>
      <c r="F5" s="235"/>
      <c r="G5" s="235"/>
      <c r="H5" s="235"/>
    </row>
    <row r="6" spans="1:8" ht="34.25" customHeight="1">
      <c r="A6" s="230">
        <v>4</v>
      </c>
      <c r="B6" s="234" t="s">
        <v>26</v>
      </c>
      <c r="C6" s="232" t="s">
        <v>27</v>
      </c>
      <c r="D6" s="234"/>
      <c r="E6" s="234"/>
      <c r="F6" s="234"/>
      <c r="G6" s="234"/>
      <c r="H6" s="234"/>
    </row>
    <row r="7" spans="1:8" ht="43.25" customHeight="1">
      <c r="A7" s="230">
        <v>5</v>
      </c>
      <c r="B7" s="234" t="s">
        <v>28</v>
      </c>
      <c r="C7" s="236" t="s">
        <v>29</v>
      </c>
      <c r="D7" s="234"/>
      <c r="E7" s="234"/>
      <c r="F7" s="234"/>
      <c r="G7" s="234"/>
      <c r="H7" s="234"/>
    </row>
    <row r="8" spans="1:8" ht="82.75" customHeight="1">
      <c r="A8" s="230">
        <v>6</v>
      </c>
      <c r="B8" s="234" t="s">
        <v>30</v>
      </c>
      <c r="C8" s="4"/>
      <c r="D8" s="234"/>
      <c r="E8" s="234"/>
      <c r="F8" s="234"/>
      <c r="G8" s="234"/>
      <c r="H8" s="234"/>
    </row>
    <row r="9" spans="1:8" ht="31">
      <c r="A9" s="230">
        <f>7</f>
        <v>7</v>
      </c>
      <c r="B9" s="234" t="s">
        <v>31</v>
      </c>
    </row>
    <row r="10" spans="1:8" ht="15.5">
      <c r="A10" s="230">
        <f>8</f>
        <v>8</v>
      </c>
      <c r="B10" s="234" t="s">
        <v>32</v>
      </c>
    </row>
    <row r="11" spans="1:8" ht="31">
      <c r="A11" s="146">
        <f>9</f>
        <v>9</v>
      </c>
      <c r="B11" s="234" t="s">
        <v>33</v>
      </c>
    </row>
    <row r="12" spans="1:8" ht="15.5">
      <c r="A12" s="146">
        <f>10</f>
        <v>10</v>
      </c>
      <c r="B12" s="234" t="s">
        <v>34</v>
      </c>
      <c r="C12" s="237" t="s">
        <v>35</v>
      </c>
    </row>
    <row r="13" spans="1:8" ht="15.5">
      <c r="A13" s="146">
        <v>11</v>
      </c>
      <c r="B13" s="2" t="s">
        <v>36</v>
      </c>
    </row>
    <row r="14" spans="1:8" ht="15.5">
      <c r="A14" s="238">
        <f>12</f>
        <v>12</v>
      </c>
      <c r="B14" s="234" t="s">
        <v>37</v>
      </c>
    </row>
    <row r="15" spans="1:8" ht="15.5">
      <c r="A15" s="146">
        <f>13</f>
        <v>13</v>
      </c>
      <c r="B15" s="2" t="s">
        <v>38</v>
      </c>
    </row>
  </sheetData>
  <hyperlinks>
    <hyperlink ref="C3" r:id="rId1" xr:uid="{00000000-0004-0000-0100-000000000000}"/>
    <hyperlink ref="C4" r:id="rId2" xr:uid="{00000000-0004-0000-0100-000001000000}"/>
    <hyperlink ref="C6" r:id="rId3" location="1000" xr:uid="{00000000-0004-0000-0100-000002000000}"/>
    <hyperlink ref="C7" r:id="rId4" xr:uid="{00000000-0004-0000-0100-000003000000}"/>
    <hyperlink ref="C12" r:id="rId5" xr:uid="{00000000-0004-0000-0100-000004000000}"/>
    <hyperlink ref="D2" location="Оглавление!A1" display="Назад в оглавление" xr:uid="{00000000-0004-0000-0100-000005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1185"/>
  <sheetViews>
    <sheetView workbookViewId="0">
      <selection activeCell="A21" sqref="A21"/>
    </sheetView>
  </sheetViews>
  <sheetFormatPr defaultColWidth="9" defaultRowHeight="13" customHeight="1"/>
  <cols>
    <col min="1" max="1" width="32.1796875" customWidth="1"/>
    <col min="2" max="2" width="25" customWidth="1"/>
    <col min="3" max="3" width="13" customWidth="1"/>
    <col min="4" max="4" width="16" customWidth="1"/>
    <col min="5" max="5" width="17.08984375" customWidth="1"/>
    <col min="6" max="6" width="12.90625" customWidth="1"/>
    <col min="7" max="7" width="14" customWidth="1"/>
    <col min="8" max="8" width="12.90625" customWidth="1"/>
    <col min="9" max="9" width="50.90625" customWidth="1"/>
    <col min="10" max="10" width="15.1796875" customWidth="1"/>
    <col min="11" max="11" width="9.36328125" customWidth="1"/>
    <col min="12" max="22" width="10.453125" customWidth="1"/>
    <col min="23" max="23" width="9.1796875" customWidth="1"/>
    <col min="24" max="42" width="10.453125" customWidth="1"/>
  </cols>
  <sheetData>
    <row r="1" spans="1:105" ht="19.75" customHeight="1">
      <c r="A1" s="1" t="s">
        <v>15</v>
      </c>
      <c r="B1" s="2"/>
      <c r="C1" s="2"/>
      <c r="D1" s="2"/>
      <c r="E1" s="2"/>
      <c r="F1" s="2"/>
      <c r="G1" s="3"/>
      <c r="H1" s="3"/>
      <c r="I1" s="3" t="s">
        <v>20</v>
      </c>
      <c r="J1" s="4"/>
      <c r="K1" s="4"/>
      <c r="L1" s="4"/>
      <c r="M1" s="4"/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</row>
    <row r="2" spans="1:105" ht="19.25" customHeight="1">
      <c r="A2" s="6" t="s">
        <v>39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</row>
    <row r="3" spans="1:105" ht="13" customHeight="1">
      <c r="A3" s="281" t="s">
        <v>40</v>
      </c>
      <c r="B3" s="283" t="s">
        <v>41</v>
      </c>
      <c r="C3" s="285" t="s">
        <v>42</v>
      </c>
      <c r="D3" s="283" t="s">
        <v>43</v>
      </c>
      <c r="E3" s="281" t="s">
        <v>44</v>
      </c>
      <c r="F3" s="285" t="s">
        <v>45</v>
      </c>
      <c r="G3" s="285" t="s">
        <v>46</v>
      </c>
      <c r="H3" s="285" t="s">
        <v>47</v>
      </c>
      <c r="I3" s="285" t="s">
        <v>48</v>
      </c>
      <c r="J3" s="281" t="s">
        <v>49</v>
      </c>
      <c r="K3" s="281" t="s">
        <v>50</v>
      </c>
      <c r="L3" s="278" t="s">
        <v>51</v>
      </c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79"/>
      <c r="AF3" s="279"/>
      <c r="AG3" s="279"/>
      <c r="AH3" s="279"/>
      <c r="AI3" s="279"/>
      <c r="AJ3" s="279"/>
      <c r="AK3" s="279"/>
      <c r="AL3" s="279"/>
      <c r="AM3" s="279"/>
      <c r="AN3" s="279"/>
      <c r="AO3" s="279"/>
      <c r="AP3" s="279"/>
      <c r="AQ3" s="279"/>
      <c r="AR3" s="279"/>
      <c r="AS3" s="279"/>
      <c r="AT3" s="279"/>
      <c r="AU3" s="279"/>
      <c r="AV3" s="279"/>
      <c r="AW3" s="279"/>
      <c r="AX3" s="279"/>
      <c r="AY3" s="279"/>
      <c r="AZ3" s="280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pans="1:105" ht="13" customHeight="1">
      <c r="A4" s="282"/>
      <c r="B4" s="284"/>
      <c r="C4" s="286"/>
      <c r="D4" s="284"/>
      <c r="E4" s="282"/>
      <c r="F4" s="286"/>
      <c r="G4" s="286"/>
      <c r="H4" s="286"/>
      <c r="I4" s="286"/>
      <c r="J4" s="282"/>
      <c r="K4" s="282"/>
      <c r="L4" s="8" t="s">
        <v>52</v>
      </c>
      <c r="M4" s="9" t="s">
        <v>53</v>
      </c>
      <c r="N4" s="9" t="s">
        <v>54</v>
      </c>
      <c r="O4" s="9" t="s">
        <v>55</v>
      </c>
      <c r="P4" s="9" t="s">
        <v>56</v>
      </c>
      <c r="Q4" s="9" t="s">
        <v>57</v>
      </c>
      <c r="R4" s="9" t="s">
        <v>58</v>
      </c>
      <c r="S4" s="9" t="s">
        <v>59</v>
      </c>
      <c r="T4" s="9" t="s">
        <v>60</v>
      </c>
      <c r="U4" s="9" t="s">
        <v>61</v>
      </c>
      <c r="V4" s="9" t="s">
        <v>62</v>
      </c>
      <c r="W4" s="9" t="s">
        <v>63</v>
      </c>
      <c r="X4" s="9" t="s">
        <v>64</v>
      </c>
      <c r="Y4" s="9" t="s">
        <v>65</v>
      </c>
      <c r="Z4" s="9" t="s">
        <v>66</v>
      </c>
      <c r="AA4" s="9" t="s">
        <v>67</v>
      </c>
      <c r="AB4" s="9" t="s">
        <v>68</v>
      </c>
      <c r="AC4" s="9" t="s">
        <v>69</v>
      </c>
      <c r="AD4" s="9" t="s">
        <v>70</v>
      </c>
      <c r="AE4" s="9" t="s">
        <v>71</v>
      </c>
      <c r="AF4" s="9" t="s">
        <v>72</v>
      </c>
      <c r="AG4" s="9" t="s">
        <v>73</v>
      </c>
      <c r="AH4" s="9" t="s">
        <v>74</v>
      </c>
      <c r="AI4" s="9" t="s">
        <v>75</v>
      </c>
      <c r="AJ4" s="9" t="s">
        <v>76</v>
      </c>
      <c r="AK4" s="9" t="s">
        <v>77</v>
      </c>
      <c r="AL4" s="9" t="s">
        <v>78</v>
      </c>
      <c r="AM4" s="9" t="s">
        <v>79</v>
      </c>
      <c r="AN4" s="9" t="s">
        <v>80</v>
      </c>
      <c r="AO4" s="9" t="s">
        <v>81</v>
      </c>
      <c r="AP4" s="10" t="s">
        <v>82</v>
      </c>
      <c r="AQ4" s="11" t="s">
        <v>83</v>
      </c>
      <c r="AR4" s="11" t="s">
        <v>84</v>
      </c>
      <c r="AS4" s="11" t="s">
        <v>85</v>
      </c>
      <c r="AT4" s="11" t="s">
        <v>86</v>
      </c>
      <c r="AU4" s="11" t="s">
        <v>87</v>
      </c>
      <c r="AV4" s="11" t="s">
        <v>88</v>
      </c>
      <c r="AW4" s="11" t="s">
        <v>89</v>
      </c>
      <c r="AX4" s="11" t="s">
        <v>90</v>
      </c>
      <c r="AY4" s="11" t="s">
        <v>91</v>
      </c>
      <c r="AZ4" s="12" t="s">
        <v>92</v>
      </c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</row>
    <row r="5" spans="1:105" ht="13" customHeight="1">
      <c r="A5" s="184" t="s">
        <v>93</v>
      </c>
      <c r="B5" s="184" t="s">
        <v>94</v>
      </c>
      <c r="C5" s="185" t="s">
        <v>95</v>
      </c>
      <c r="D5" s="185" t="s">
        <v>96</v>
      </c>
      <c r="E5" s="186"/>
      <c r="F5" s="187"/>
      <c r="G5" s="187"/>
      <c r="H5" s="188"/>
      <c r="I5" s="189" t="s">
        <v>97</v>
      </c>
      <c r="J5" s="190" t="s">
        <v>98</v>
      </c>
      <c r="K5" s="191">
        <f>1</f>
        <v>1</v>
      </c>
      <c r="L5" s="192">
        <f>0.981</f>
        <v>0.98099999999999998</v>
      </c>
      <c r="M5" s="193">
        <v>0.998</v>
      </c>
      <c r="N5" s="193">
        <f>1.033</f>
        <v>1.0329999999999999</v>
      </c>
      <c r="O5" s="194">
        <f>1.1</f>
        <v>1.1000000000000001</v>
      </c>
      <c r="P5" s="193">
        <f>1.168</f>
        <v>1.1679999999999999</v>
      </c>
      <c r="Q5" s="195"/>
      <c r="R5" s="195"/>
      <c r="S5" s="195"/>
      <c r="T5" s="195"/>
      <c r="U5" s="195"/>
      <c r="V5" s="193">
        <f>1.602</f>
        <v>1.6020000000000001</v>
      </c>
      <c r="W5" s="195"/>
      <c r="X5" s="195"/>
      <c r="Y5" s="195"/>
      <c r="Z5" s="195"/>
      <c r="AA5" s="193">
        <f>1.925</f>
        <v>1.925</v>
      </c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6"/>
      <c r="AQ5" s="195"/>
      <c r="AR5" s="195"/>
      <c r="AS5" s="195"/>
      <c r="AT5" s="195"/>
      <c r="AU5" s="195"/>
      <c r="AV5" s="195"/>
      <c r="AW5" s="195"/>
      <c r="AX5" s="195"/>
      <c r="AY5" s="195"/>
      <c r="AZ5" s="197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</row>
    <row r="6" spans="1:105" ht="13" customHeight="1">
      <c r="A6" s="24" t="s">
        <v>93</v>
      </c>
      <c r="B6" s="24" t="s">
        <v>94</v>
      </c>
      <c r="C6" s="25" t="s">
        <v>95</v>
      </c>
      <c r="D6" s="25" t="s">
        <v>96</v>
      </c>
      <c r="E6" s="26"/>
      <c r="F6" s="26"/>
      <c r="G6" s="26"/>
      <c r="H6" s="27"/>
      <c r="I6" s="198" t="s">
        <v>99</v>
      </c>
      <c r="J6" s="199" t="s">
        <v>100</v>
      </c>
      <c r="K6" s="29"/>
      <c r="L6" s="31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>
        <f>125336.5</f>
        <v>125336.5</v>
      </c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32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</row>
    <row r="7" spans="1:105" ht="13" customHeight="1">
      <c r="A7" s="24" t="s">
        <v>93</v>
      </c>
      <c r="B7" s="24" t="s">
        <v>94</v>
      </c>
      <c r="C7" s="25" t="s">
        <v>95</v>
      </c>
      <c r="D7" s="25" t="s">
        <v>96</v>
      </c>
      <c r="E7" s="26"/>
      <c r="F7" s="26"/>
      <c r="G7" s="26"/>
      <c r="H7" s="27"/>
      <c r="I7" s="198" t="s">
        <v>101</v>
      </c>
      <c r="J7" s="199" t="s">
        <v>100</v>
      </c>
      <c r="K7" s="29"/>
      <c r="L7" s="31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>
        <f>24031.3</f>
        <v>24031.3</v>
      </c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32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</row>
    <row r="8" spans="1:105" ht="13" customHeight="1">
      <c r="A8" s="24" t="s">
        <v>93</v>
      </c>
      <c r="B8" s="24" t="s">
        <v>94</v>
      </c>
      <c r="C8" s="25" t="s">
        <v>95</v>
      </c>
      <c r="D8" s="25" t="s">
        <v>96</v>
      </c>
      <c r="E8" s="26"/>
      <c r="F8" s="26"/>
      <c r="G8" s="26"/>
      <c r="H8" s="27"/>
      <c r="I8" s="200" t="s">
        <v>102</v>
      </c>
      <c r="J8" s="199" t="s">
        <v>100</v>
      </c>
      <c r="K8" s="29"/>
      <c r="L8" s="31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>
        <f>58121.6</f>
        <v>58121.599999999999</v>
      </c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32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</row>
    <row r="9" spans="1:105" ht="13" customHeight="1">
      <c r="A9" s="24" t="s">
        <v>93</v>
      </c>
      <c r="B9" s="24" t="s">
        <v>94</v>
      </c>
      <c r="C9" s="25" t="s">
        <v>95</v>
      </c>
      <c r="D9" s="25" t="s">
        <v>96</v>
      </c>
      <c r="E9" s="26"/>
      <c r="F9" s="26"/>
      <c r="G9" s="26"/>
      <c r="H9" s="27"/>
      <c r="I9" s="200" t="s">
        <v>103</v>
      </c>
      <c r="J9" s="199" t="s">
        <v>100</v>
      </c>
      <c r="K9" s="29"/>
      <c r="L9" s="31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>
        <f>92690.1</f>
        <v>92690.1</v>
      </c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32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</row>
    <row r="10" spans="1:105" ht="13" customHeight="1">
      <c r="A10" s="24" t="s">
        <v>93</v>
      </c>
      <c r="B10" s="24" t="s">
        <v>94</v>
      </c>
      <c r="C10" s="25" t="s">
        <v>95</v>
      </c>
      <c r="D10" s="25" t="s">
        <v>96</v>
      </c>
      <c r="E10" s="26"/>
      <c r="F10" s="26"/>
      <c r="G10" s="26"/>
      <c r="H10" s="27"/>
      <c r="I10" s="198" t="s">
        <v>104</v>
      </c>
      <c r="J10" s="199" t="s">
        <v>100</v>
      </c>
      <c r="K10" s="29"/>
      <c r="L10" s="31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>
        <f>77054.7</f>
        <v>77054.7</v>
      </c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32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</row>
    <row r="11" spans="1:105" ht="13" customHeight="1">
      <c r="A11" s="24" t="s">
        <v>93</v>
      </c>
      <c r="B11" s="24" t="s">
        <v>94</v>
      </c>
      <c r="C11" s="25" t="s">
        <v>95</v>
      </c>
      <c r="D11" s="25" t="s">
        <v>96</v>
      </c>
      <c r="E11" s="26"/>
      <c r="F11" s="26"/>
      <c r="G11" s="26"/>
      <c r="H11" s="27"/>
      <c r="I11" s="200" t="s">
        <v>105</v>
      </c>
      <c r="J11" s="199" t="s">
        <v>100</v>
      </c>
      <c r="K11" s="29"/>
      <c r="L11" s="31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34">
        <f>18150</f>
        <v>18150</v>
      </c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32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</row>
    <row r="12" spans="1:105" ht="13" customHeight="1">
      <c r="A12" s="24" t="s">
        <v>93</v>
      </c>
      <c r="B12" s="24" t="s">
        <v>94</v>
      </c>
      <c r="C12" s="25" t="s">
        <v>95</v>
      </c>
      <c r="D12" s="25" t="s">
        <v>96</v>
      </c>
      <c r="E12" s="26"/>
      <c r="F12" s="26"/>
      <c r="G12" s="26"/>
      <c r="H12" s="27"/>
      <c r="I12" s="200" t="s">
        <v>106</v>
      </c>
      <c r="J12" s="199" t="s">
        <v>100</v>
      </c>
      <c r="K12" s="29"/>
      <c r="L12" s="31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>
        <f>4709.3</f>
        <v>4709.3</v>
      </c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32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</row>
    <row r="13" spans="1:105" ht="13" customHeight="1">
      <c r="A13" s="24" t="s">
        <v>93</v>
      </c>
      <c r="B13" s="24" t="s">
        <v>94</v>
      </c>
      <c r="C13" s="25" t="s">
        <v>95</v>
      </c>
      <c r="D13" s="25" t="s">
        <v>96</v>
      </c>
      <c r="E13" s="26"/>
      <c r="F13" s="26"/>
      <c r="G13" s="26"/>
      <c r="H13" s="27"/>
      <c r="I13" s="200" t="s">
        <v>107</v>
      </c>
      <c r="J13" s="199" t="s">
        <v>100</v>
      </c>
      <c r="K13" s="29"/>
      <c r="L13" s="31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>
        <f>1022.7</f>
        <v>1022.7</v>
      </c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32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</row>
    <row r="14" spans="1:105" ht="13" customHeight="1">
      <c r="A14" s="24" t="s">
        <v>93</v>
      </c>
      <c r="B14" s="24" t="s">
        <v>94</v>
      </c>
      <c r="C14" s="25" t="s">
        <v>95</v>
      </c>
      <c r="D14" s="25" t="s">
        <v>96</v>
      </c>
      <c r="E14" s="26"/>
      <c r="F14" s="26"/>
      <c r="G14" s="26"/>
      <c r="H14" s="27"/>
      <c r="I14" s="200" t="s">
        <v>108</v>
      </c>
      <c r="J14" s="199" t="s">
        <v>100</v>
      </c>
      <c r="K14" s="29"/>
      <c r="L14" s="31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>
        <f>336.4</f>
        <v>336.4</v>
      </c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32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</row>
    <row r="15" spans="1:105" ht="13" customHeight="1">
      <c r="A15" s="24" t="s">
        <v>93</v>
      </c>
      <c r="B15" s="24" t="s">
        <v>94</v>
      </c>
      <c r="C15" s="25" t="s">
        <v>95</v>
      </c>
      <c r="D15" s="25" t="s">
        <v>96</v>
      </c>
      <c r="E15" s="26"/>
      <c r="F15" s="26"/>
      <c r="G15" s="26"/>
      <c r="H15" s="27"/>
      <c r="I15" s="200" t="s">
        <v>109</v>
      </c>
      <c r="J15" s="199" t="s">
        <v>100</v>
      </c>
      <c r="K15" s="29"/>
      <c r="L15" s="31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>
        <f>310.3</f>
        <v>310.3</v>
      </c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32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</row>
    <row r="16" spans="1:105" ht="13" customHeight="1">
      <c r="A16" s="24" t="s">
        <v>93</v>
      </c>
      <c r="B16" s="24" t="s">
        <v>94</v>
      </c>
      <c r="C16" s="25" t="s">
        <v>95</v>
      </c>
      <c r="D16" s="25" t="s">
        <v>96</v>
      </c>
      <c r="E16" s="26"/>
      <c r="F16" s="26"/>
      <c r="G16" s="26"/>
      <c r="H16" s="27"/>
      <c r="I16" s="200" t="s">
        <v>110</v>
      </c>
      <c r="J16" s="199" t="s">
        <v>100</v>
      </c>
      <c r="K16" s="29"/>
      <c r="L16" s="31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>
        <v>337.5</v>
      </c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32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</row>
    <row r="17" spans="1:105" ht="13" customHeight="1">
      <c r="A17" s="24" t="s">
        <v>93</v>
      </c>
      <c r="B17" s="24" t="s">
        <v>94</v>
      </c>
      <c r="C17" s="25" t="s">
        <v>95</v>
      </c>
      <c r="D17" s="25" t="s">
        <v>96</v>
      </c>
      <c r="E17" s="26"/>
      <c r="F17" s="26"/>
      <c r="G17" s="26"/>
      <c r="H17" s="27"/>
      <c r="I17" s="200" t="s">
        <v>111</v>
      </c>
      <c r="J17" s="199" t="s">
        <v>100</v>
      </c>
      <c r="K17" s="29"/>
      <c r="L17" s="31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>
        <f>107.9</f>
        <v>107.9</v>
      </c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32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</row>
    <row r="18" spans="1:105" ht="13" customHeight="1">
      <c r="A18" s="24" t="s">
        <v>93</v>
      </c>
      <c r="B18" s="24" t="s">
        <v>94</v>
      </c>
      <c r="C18" s="25" t="s">
        <v>95</v>
      </c>
      <c r="D18" s="25" t="s">
        <v>96</v>
      </c>
      <c r="E18" s="26"/>
      <c r="F18" s="26"/>
      <c r="G18" s="26"/>
      <c r="H18" s="27"/>
      <c r="I18" s="200" t="s">
        <v>112</v>
      </c>
      <c r="J18" s="199" t="s">
        <v>100</v>
      </c>
      <c r="K18" s="29"/>
      <c r="L18" s="31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>
        <f>3.6</f>
        <v>3.6</v>
      </c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32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</row>
    <row r="19" spans="1:105" ht="13" customHeight="1">
      <c r="A19" s="24" t="s">
        <v>93</v>
      </c>
      <c r="B19" s="24" t="s">
        <v>94</v>
      </c>
      <c r="C19" s="25" t="s">
        <v>95</v>
      </c>
      <c r="D19" s="25" t="s">
        <v>96</v>
      </c>
      <c r="E19" s="26"/>
      <c r="F19" s="26"/>
      <c r="G19" s="26"/>
      <c r="H19" s="27"/>
      <c r="I19" s="200" t="s">
        <v>113</v>
      </c>
      <c r="J19" s="199" t="s">
        <v>100</v>
      </c>
      <c r="K19" s="29"/>
      <c r="L19" s="31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>
        <f>33400</f>
        <v>33400</v>
      </c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32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</row>
    <row r="20" spans="1:105" ht="13" customHeight="1">
      <c r="A20" s="24" t="s">
        <v>93</v>
      </c>
      <c r="B20" s="24" t="s">
        <v>94</v>
      </c>
      <c r="C20" s="25" t="s">
        <v>95</v>
      </c>
      <c r="D20" s="25" t="s">
        <v>96</v>
      </c>
      <c r="E20" s="26"/>
      <c r="F20" s="26"/>
      <c r="G20" s="26"/>
      <c r="H20" s="27"/>
      <c r="I20" s="198" t="s">
        <v>114</v>
      </c>
      <c r="J20" s="199" t="s">
        <v>100</v>
      </c>
      <c r="K20" s="29"/>
      <c r="L20" s="31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>
        <f>52635</f>
        <v>52635</v>
      </c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32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</row>
    <row r="21" spans="1:105" ht="13" customHeight="1">
      <c r="A21" s="24" t="s">
        <v>93</v>
      </c>
      <c r="B21" s="24" t="s">
        <v>94</v>
      </c>
      <c r="C21" s="25" t="s">
        <v>95</v>
      </c>
      <c r="D21" s="25" t="s">
        <v>96</v>
      </c>
      <c r="E21" s="26"/>
      <c r="F21" s="26"/>
      <c r="G21" s="26"/>
      <c r="H21" s="27"/>
      <c r="I21" s="201" t="s">
        <v>115</v>
      </c>
      <c r="J21" s="199" t="s">
        <v>100</v>
      </c>
      <c r="K21" s="29"/>
      <c r="L21" s="31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>
        <f>22058</f>
        <v>22058</v>
      </c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32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</row>
    <row r="22" spans="1:105" ht="13" customHeight="1">
      <c r="A22" s="24" t="s">
        <v>93</v>
      </c>
      <c r="B22" s="24" t="s">
        <v>94</v>
      </c>
      <c r="C22" s="25" t="s">
        <v>95</v>
      </c>
      <c r="D22" s="25" t="s">
        <v>96</v>
      </c>
      <c r="E22" s="26"/>
      <c r="F22" s="26"/>
      <c r="G22" s="26"/>
      <c r="H22" s="27"/>
      <c r="I22" s="201" t="s">
        <v>116</v>
      </c>
      <c r="J22" s="199" t="s">
        <v>100</v>
      </c>
      <c r="K22" s="29"/>
      <c r="L22" s="31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>
        <f>7000</f>
        <v>7000</v>
      </c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32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</row>
    <row r="23" spans="1:105" ht="13" customHeight="1">
      <c r="A23" s="24" t="s">
        <v>93</v>
      </c>
      <c r="B23" s="24" t="s">
        <v>94</v>
      </c>
      <c r="C23" s="25" t="s">
        <v>95</v>
      </c>
      <c r="D23" s="25" t="s">
        <v>96</v>
      </c>
      <c r="E23" s="26"/>
      <c r="F23" s="26"/>
      <c r="G23" s="26"/>
      <c r="H23" s="27"/>
      <c r="I23" s="201" t="s">
        <v>117</v>
      </c>
      <c r="J23" s="199" t="s">
        <v>100</v>
      </c>
      <c r="K23" s="29"/>
      <c r="L23" s="31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>
        <v>24907</v>
      </c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32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</row>
    <row r="24" spans="1:105" ht="13" customHeight="1">
      <c r="A24" s="24" t="s">
        <v>93</v>
      </c>
      <c r="B24" s="24" t="s">
        <v>94</v>
      </c>
      <c r="C24" s="25" t="s">
        <v>95</v>
      </c>
      <c r="D24" s="25" t="s">
        <v>96</v>
      </c>
      <c r="E24" s="26"/>
      <c r="F24" s="26"/>
      <c r="G24" s="26"/>
      <c r="H24" s="27"/>
      <c r="I24" s="200" t="s">
        <v>118</v>
      </c>
      <c r="J24" s="199" t="s">
        <v>100</v>
      </c>
      <c r="K24" s="29"/>
      <c r="L24" s="31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>
        <f>10500</f>
        <v>10500</v>
      </c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32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</row>
    <row r="25" spans="1:105" ht="13" customHeight="1">
      <c r="A25" s="24" t="s">
        <v>93</v>
      </c>
      <c r="B25" s="24" t="s">
        <v>94</v>
      </c>
      <c r="C25" s="25" t="s">
        <v>95</v>
      </c>
      <c r="D25" s="25" t="s">
        <v>96</v>
      </c>
      <c r="E25" s="26"/>
      <c r="F25" s="26"/>
      <c r="G25" s="26"/>
      <c r="H25" s="27"/>
      <c r="I25" s="200" t="s">
        <v>119</v>
      </c>
      <c r="J25" s="199" t="s">
        <v>100</v>
      </c>
      <c r="K25" s="29"/>
      <c r="L25" s="31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>
        <f>1350</f>
        <v>1350</v>
      </c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32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</row>
    <row r="26" spans="1:105" ht="13" customHeight="1">
      <c r="A26" s="24" t="s">
        <v>93</v>
      </c>
      <c r="B26" s="24" t="s">
        <v>94</v>
      </c>
      <c r="C26" s="25" t="s">
        <v>95</v>
      </c>
      <c r="D26" s="25" t="s">
        <v>96</v>
      </c>
      <c r="E26" s="26"/>
      <c r="F26" s="26"/>
      <c r="G26" s="26"/>
      <c r="H26" s="27"/>
      <c r="I26" s="198" t="s">
        <v>120</v>
      </c>
      <c r="J26" s="199" t="s">
        <v>100</v>
      </c>
      <c r="K26" s="29"/>
      <c r="L26" s="31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>
        <f>9600</f>
        <v>9600</v>
      </c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32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</row>
    <row r="27" spans="1:105" ht="13" customHeight="1">
      <c r="A27" s="24" t="s">
        <v>93</v>
      </c>
      <c r="B27" s="24" t="s">
        <v>94</v>
      </c>
      <c r="C27" s="25" t="s">
        <v>95</v>
      </c>
      <c r="D27" s="25" t="s">
        <v>96</v>
      </c>
      <c r="E27" s="26"/>
      <c r="F27" s="26"/>
      <c r="G27" s="26"/>
      <c r="H27" s="27"/>
      <c r="I27" s="200" t="s">
        <v>121</v>
      </c>
      <c r="J27" s="199" t="s">
        <v>100</v>
      </c>
      <c r="K27" s="29"/>
      <c r="L27" s="31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>
        <f>5056</f>
        <v>5056</v>
      </c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32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</row>
    <row r="28" spans="1:105" ht="13" customHeight="1">
      <c r="A28" s="24" t="s">
        <v>93</v>
      </c>
      <c r="B28" s="24" t="s">
        <v>94</v>
      </c>
      <c r="C28" s="25" t="s">
        <v>95</v>
      </c>
      <c r="D28" s="25" t="s">
        <v>96</v>
      </c>
      <c r="E28" s="26"/>
      <c r="F28" s="26"/>
      <c r="G28" s="26"/>
      <c r="H28" s="27"/>
      <c r="I28" s="198" t="s">
        <v>122</v>
      </c>
      <c r="J28" s="199" t="s">
        <v>100</v>
      </c>
      <c r="K28" s="29"/>
      <c r="L28" s="31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>
        <f>7000</f>
        <v>7000</v>
      </c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32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</row>
    <row r="29" spans="1:105" ht="13" customHeight="1">
      <c r="A29" s="24" t="s">
        <v>93</v>
      </c>
      <c r="B29" s="24" t="s">
        <v>94</v>
      </c>
      <c r="C29" s="25" t="s">
        <v>95</v>
      </c>
      <c r="D29" s="25" t="s">
        <v>96</v>
      </c>
      <c r="E29" s="26"/>
      <c r="F29" s="26"/>
      <c r="G29" s="26"/>
      <c r="H29" s="27"/>
      <c r="I29" s="200" t="s">
        <v>123</v>
      </c>
      <c r="J29" s="199" t="s">
        <v>124</v>
      </c>
      <c r="K29" s="29"/>
      <c r="L29" s="31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>
        <f>105600</f>
        <v>105600</v>
      </c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32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</row>
    <row r="30" spans="1:105" ht="13" customHeight="1">
      <c r="A30" s="24" t="s">
        <v>93</v>
      </c>
      <c r="B30" s="24" t="s">
        <v>94</v>
      </c>
      <c r="C30" s="25" t="s">
        <v>95</v>
      </c>
      <c r="D30" s="25" t="s">
        <v>96</v>
      </c>
      <c r="E30" s="26"/>
      <c r="F30" s="26"/>
      <c r="G30" s="26"/>
      <c r="H30" s="27"/>
      <c r="I30" s="198" t="s">
        <v>125</v>
      </c>
      <c r="J30" s="199" t="s">
        <v>100</v>
      </c>
      <c r="K30" s="29"/>
      <c r="L30" s="31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>
        <f>30853</f>
        <v>30853</v>
      </c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32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</row>
    <row r="31" spans="1:105" ht="13" customHeight="1">
      <c r="A31" s="24" t="s">
        <v>93</v>
      </c>
      <c r="B31" s="24" t="s">
        <v>94</v>
      </c>
      <c r="C31" s="25" t="s">
        <v>95</v>
      </c>
      <c r="D31" s="25" t="s">
        <v>96</v>
      </c>
      <c r="E31" s="26"/>
      <c r="F31" s="26"/>
      <c r="G31" s="26"/>
      <c r="H31" s="27"/>
      <c r="I31" s="200" t="s">
        <v>126</v>
      </c>
      <c r="J31" s="199" t="s">
        <v>100</v>
      </c>
      <c r="K31" s="29"/>
      <c r="L31" s="31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>
        <f>10767</f>
        <v>10767</v>
      </c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32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</row>
    <row r="32" spans="1:105" ht="13" customHeight="1">
      <c r="A32" s="24" t="s">
        <v>93</v>
      </c>
      <c r="B32" s="24" t="s">
        <v>94</v>
      </c>
      <c r="C32" s="25" t="s">
        <v>95</v>
      </c>
      <c r="D32" s="25" t="s">
        <v>96</v>
      </c>
      <c r="E32" s="26"/>
      <c r="F32" s="26"/>
      <c r="G32" s="26"/>
      <c r="H32" s="27"/>
      <c r="I32" s="198" t="s">
        <v>127</v>
      </c>
      <c r="J32" s="199" t="s">
        <v>100</v>
      </c>
      <c r="K32" s="29"/>
      <c r="L32" s="31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>
        <f>2126</f>
        <v>2126</v>
      </c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32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</row>
    <row r="33" spans="1:105" ht="13" customHeight="1">
      <c r="A33" s="24" t="s">
        <v>93</v>
      </c>
      <c r="B33" s="24" t="s">
        <v>94</v>
      </c>
      <c r="C33" s="25" t="s">
        <v>95</v>
      </c>
      <c r="D33" s="25" t="s">
        <v>96</v>
      </c>
      <c r="E33" s="26"/>
      <c r="F33" s="26"/>
      <c r="G33" s="26"/>
      <c r="H33" s="27"/>
      <c r="I33" s="200" t="s">
        <v>128</v>
      </c>
      <c r="J33" s="199" t="s">
        <v>100</v>
      </c>
      <c r="K33" s="29"/>
      <c r="L33" s="31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>
        <f>90000</f>
        <v>90000</v>
      </c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32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</row>
    <row r="34" spans="1:105" ht="13" customHeight="1">
      <c r="A34" s="24" t="s">
        <v>93</v>
      </c>
      <c r="B34" s="24" t="s">
        <v>94</v>
      </c>
      <c r="C34" s="25" t="s">
        <v>95</v>
      </c>
      <c r="D34" s="25" t="s">
        <v>96</v>
      </c>
      <c r="E34" s="26"/>
      <c r="F34" s="26"/>
      <c r="G34" s="26"/>
      <c r="H34" s="27"/>
      <c r="I34" s="198" t="s">
        <v>129</v>
      </c>
      <c r="J34" s="199" t="s">
        <v>100</v>
      </c>
      <c r="K34" s="29"/>
      <c r="L34" s="31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>
        <f>13500</f>
        <v>13500</v>
      </c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32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</row>
    <row r="35" spans="1:105" ht="13" customHeight="1">
      <c r="A35" s="24" t="s">
        <v>93</v>
      </c>
      <c r="B35" s="24" t="s">
        <v>94</v>
      </c>
      <c r="C35" s="25" t="s">
        <v>95</v>
      </c>
      <c r="D35" s="25" t="s">
        <v>96</v>
      </c>
      <c r="E35" s="26"/>
      <c r="F35" s="26"/>
      <c r="G35" s="26"/>
      <c r="H35" s="27"/>
      <c r="I35" s="200" t="s">
        <v>130</v>
      </c>
      <c r="J35" s="199" t="s">
        <v>131</v>
      </c>
      <c r="K35" s="29"/>
      <c r="L35" s="31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>
        <f>49000</f>
        <v>49000</v>
      </c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32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</row>
    <row r="36" spans="1:105" ht="13" customHeight="1">
      <c r="A36" s="24" t="s">
        <v>93</v>
      </c>
      <c r="B36" s="24" t="s">
        <v>94</v>
      </c>
      <c r="C36" s="25" t="s">
        <v>95</v>
      </c>
      <c r="D36" s="25" t="s">
        <v>96</v>
      </c>
      <c r="E36" s="26"/>
      <c r="F36" s="26"/>
      <c r="G36" s="26"/>
      <c r="H36" s="27"/>
      <c r="I36" s="198" t="s">
        <v>132</v>
      </c>
      <c r="J36" s="202" t="s">
        <v>133</v>
      </c>
      <c r="K36" s="36"/>
      <c r="L36" s="31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>
        <f>9500</f>
        <v>9500</v>
      </c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32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</row>
    <row r="37" spans="1:105" ht="13" customHeight="1">
      <c r="A37" s="24" t="s">
        <v>93</v>
      </c>
      <c r="B37" s="24" t="s">
        <v>94</v>
      </c>
      <c r="C37" s="25" t="s">
        <v>95</v>
      </c>
      <c r="D37" s="25" t="s">
        <v>96</v>
      </c>
      <c r="E37" s="26"/>
      <c r="F37" s="26"/>
      <c r="G37" s="26"/>
      <c r="H37" s="27"/>
      <c r="I37" s="200" t="s">
        <v>134</v>
      </c>
      <c r="J37" s="199" t="s">
        <v>135</v>
      </c>
      <c r="K37" s="29"/>
      <c r="L37" s="31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>
        <f>350000</f>
        <v>350000</v>
      </c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32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</row>
    <row r="38" spans="1:105" ht="13" customHeight="1">
      <c r="A38" s="24" t="s">
        <v>93</v>
      </c>
      <c r="B38" s="24" t="s">
        <v>94</v>
      </c>
      <c r="C38" s="25" t="s">
        <v>95</v>
      </c>
      <c r="D38" s="25" t="s">
        <v>96</v>
      </c>
      <c r="E38" s="26"/>
      <c r="F38" s="26"/>
      <c r="G38" s="26"/>
      <c r="H38" s="27"/>
      <c r="I38" s="200" t="s">
        <v>136</v>
      </c>
      <c r="J38" s="199" t="s">
        <v>100</v>
      </c>
      <c r="K38" s="29"/>
      <c r="L38" s="31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>
        <f>4500</f>
        <v>4500</v>
      </c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32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</row>
    <row r="39" spans="1:105" ht="13" customHeight="1">
      <c r="A39" s="24" t="s">
        <v>137</v>
      </c>
      <c r="B39" s="24" t="s">
        <v>94</v>
      </c>
      <c r="C39" s="25" t="s">
        <v>138</v>
      </c>
      <c r="D39" s="25" t="s">
        <v>139</v>
      </c>
      <c r="E39" s="25" t="s">
        <v>140</v>
      </c>
      <c r="F39" s="25"/>
      <c r="G39" s="25"/>
      <c r="H39" s="38"/>
      <c r="I39" s="200" t="s">
        <v>103</v>
      </c>
      <c r="J39" s="199" t="s">
        <v>141</v>
      </c>
      <c r="K39" s="29">
        <f>73.9</f>
        <v>73.900000000000006</v>
      </c>
      <c r="L39" s="31">
        <f>73.8</f>
        <v>73.8</v>
      </c>
      <c r="M39" s="26">
        <f>77.8</f>
        <v>77.8</v>
      </c>
      <c r="N39" s="26">
        <f>73.5</f>
        <v>73.5</v>
      </c>
      <c r="O39" s="26">
        <f>68.1</f>
        <v>68.099999999999994</v>
      </c>
      <c r="P39" s="26">
        <f>69.2</f>
        <v>69.2</v>
      </c>
      <c r="Q39" s="26">
        <f>70.3</f>
        <v>70.3</v>
      </c>
      <c r="R39" s="26"/>
      <c r="S39" s="26"/>
      <c r="T39" s="26"/>
      <c r="U39" s="26"/>
      <c r="V39" s="26">
        <f>75.7</f>
        <v>75.7</v>
      </c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32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</row>
    <row r="40" spans="1:105" ht="13" customHeight="1">
      <c r="A40" s="24" t="s">
        <v>137</v>
      </c>
      <c r="B40" s="24" t="s">
        <v>94</v>
      </c>
      <c r="C40" s="25" t="s">
        <v>138</v>
      </c>
      <c r="D40" s="25" t="s">
        <v>139</v>
      </c>
      <c r="E40" s="25" t="s">
        <v>142</v>
      </c>
      <c r="F40" s="25"/>
      <c r="G40" s="25"/>
      <c r="H40" s="38"/>
      <c r="I40" s="200" t="s">
        <v>103</v>
      </c>
      <c r="J40" s="199" t="s">
        <v>141</v>
      </c>
      <c r="K40" s="29">
        <f>73.9</f>
        <v>73.900000000000006</v>
      </c>
      <c r="L40" s="31">
        <f>73.8</f>
        <v>73.8</v>
      </c>
      <c r="M40" s="26">
        <f>77.8</f>
        <v>77.8</v>
      </c>
      <c r="N40" s="26">
        <f>73.5</f>
        <v>73.5</v>
      </c>
      <c r="O40" s="26">
        <f>76.6</f>
        <v>76.599999999999994</v>
      </c>
      <c r="P40" s="26">
        <f>78.1</f>
        <v>78.099999999999994</v>
      </c>
      <c r="Q40" s="26">
        <f>81.2</f>
        <v>81.2</v>
      </c>
      <c r="R40" s="26"/>
      <c r="S40" s="26"/>
      <c r="T40" s="26"/>
      <c r="U40" s="26"/>
      <c r="V40" s="26">
        <f>90.4</f>
        <v>90.4</v>
      </c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32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</row>
    <row r="41" spans="1:105" ht="13" customHeight="1">
      <c r="A41" s="24" t="s">
        <v>137</v>
      </c>
      <c r="B41" s="24" t="s">
        <v>94</v>
      </c>
      <c r="C41" s="25" t="s">
        <v>138</v>
      </c>
      <c r="D41" s="25" t="s">
        <v>139</v>
      </c>
      <c r="E41" s="25" t="s">
        <v>140</v>
      </c>
      <c r="F41" s="25"/>
      <c r="G41" s="25"/>
      <c r="H41" s="38"/>
      <c r="I41" s="198" t="s">
        <v>104</v>
      </c>
      <c r="J41" s="199" t="s">
        <v>141</v>
      </c>
      <c r="K41" s="29">
        <f>61.7</f>
        <v>61.7</v>
      </c>
      <c r="L41" s="31">
        <f>61.8</f>
        <v>61.8</v>
      </c>
      <c r="M41" s="26">
        <f>65.9</f>
        <v>65.900000000000006</v>
      </c>
      <c r="N41" s="26">
        <f>61</f>
        <v>61</v>
      </c>
      <c r="O41" s="26">
        <f>59.7</f>
        <v>59.7</v>
      </c>
      <c r="P41" s="26">
        <f>60.7</f>
        <v>60.7</v>
      </c>
      <c r="Q41" s="26">
        <f>61.6</f>
        <v>61.6</v>
      </c>
      <c r="R41" s="26"/>
      <c r="S41" s="26"/>
      <c r="T41" s="26"/>
      <c r="U41" s="26"/>
      <c r="V41" s="26">
        <f>66.4</f>
        <v>66.400000000000006</v>
      </c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32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</row>
    <row r="42" spans="1:105" ht="13" customHeight="1">
      <c r="A42" s="24" t="s">
        <v>137</v>
      </c>
      <c r="B42" s="24" t="s">
        <v>94</v>
      </c>
      <c r="C42" s="25" t="s">
        <v>138</v>
      </c>
      <c r="D42" s="25" t="s">
        <v>139</v>
      </c>
      <c r="E42" s="25" t="s">
        <v>140</v>
      </c>
      <c r="F42" s="25"/>
      <c r="G42" s="25"/>
      <c r="H42" s="38"/>
      <c r="I42" s="198" t="s">
        <v>143</v>
      </c>
      <c r="J42" s="199" t="s">
        <v>141</v>
      </c>
      <c r="K42" s="29">
        <f>40.9</f>
        <v>40.9</v>
      </c>
      <c r="L42" s="31">
        <f>40.2</f>
        <v>40.200000000000003</v>
      </c>
      <c r="M42" s="26">
        <f>40.8</f>
        <v>40.799999999999997</v>
      </c>
      <c r="N42" s="26">
        <f>39</f>
        <v>39</v>
      </c>
      <c r="O42" s="26">
        <f>38.9</f>
        <v>38.9</v>
      </c>
      <c r="P42" s="26">
        <f>39</f>
        <v>39</v>
      </c>
      <c r="Q42" s="26">
        <f>39</f>
        <v>39</v>
      </c>
      <c r="R42" s="26"/>
      <c r="S42" s="26"/>
      <c r="T42" s="26"/>
      <c r="U42" s="26"/>
      <c r="V42" s="26">
        <f>38.5</f>
        <v>38.5</v>
      </c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32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</row>
    <row r="43" spans="1:105" ht="13" customHeight="1">
      <c r="A43" s="24" t="s">
        <v>137</v>
      </c>
      <c r="B43" s="24" t="s">
        <v>94</v>
      </c>
      <c r="C43" s="25" t="s">
        <v>138</v>
      </c>
      <c r="D43" s="25" t="s">
        <v>139</v>
      </c>
      <c r="E43" s="25" t="s">
        <v>140</v>
      </c>
      <c r="F43" s="25"/>
      <c r="G43" s="25"/>
      <c r="H43" s="38"/>
      <c r="I43" s="200" t="s">
        <v>144</v>
      </c>
      <c r="J43" s="199" t="s">
        <v>141</v>
      </c>
      <c r="K43" s="29">
        <f>26.5</f>
        <v>26.5</v>
      </c>
      <c r="L43" s="31">
        <f>25.9</f>
        <v>25.9</v>
      </c>
      <c r="M43" s="26">
        <f>29.3</f>
        <v>29.3</v>
      </c>
      <c r="N43" s="26">
        <f>26</f>
        <v>26</v>
      </c>
      <c r="O43" s="26">
        <f>24.8</f>
        <v>24.8</v>
      </c>
      <c r="P43" s="26">
        <f>25.8</f>
        <v>25.8</v>
      </c>
      <c r="Q43" s="26">
        <f>26.8</f>
        <v>26.8</v>
      </c>
      <c r="R43" s="26"/>
      <c r="S43" s="26"/>
      <c r="T43" s="26"/>
      <c r="U43" s="26"/>
      <c r="V43" s="26">
        <f>32.5</f>
        <v>32.5</v>
      </c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32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</row>
    <row r="44" spans="1:105" ht="13" customHeight="1">
      <c r="A44" s="24" t="s">
        <v>137</v>
      </c>
      <c r="B44" s="24" t="s">
        <v>94</v>
      </c>
      <c r="C44" s="25" t="s">
        <v>138</v>
      </c>
      <c r="D44" s="25" t="s">
        <v>139</v>
      </c>
      <c r="E44" s="25" t="s">
        <v>140</v>
      </c>
      <c r="F44" s="25"/>
      <c r="G44" s="25"/>
      <c r="H44" s="38"/>
      <c r="I44" s="200" t="s">
        <v>145</v>
      </c>
      <c r="J44" s="199" t="s">
        <v>141</v>
      </c>
      <c r="K44" s="29">
        <f>5.6</f>
        <v>5.6</v>
      </c>
      <c r="L44" s="31">
        <f>4.3</f>
        <v>4.3</v>
      </c>
      <c r="M44" s="26">
        <f>4.2</f>
        <v>4.2</v>
      </c>
      <c r="N44" s="26">
        <f>4</f>
        <v>4</v>
      </c>
      <c r="O44" s="26">
        <f>4</f>
        <v>4</v>
      </c>
      <c r="P44" s="26">
        <f>4.1</f>
        <v>4.0999999999999996</v>
      </c>
      <c r="Q44" s="26">
        <f>4.2</f>
        <v>4.2</v>
      </c>
      <c r="R44" s="26"/>
      <c r="S44" s="26"/>
      <c r="T44" s="26"/>
      <c r="U44" s="26"/>
      <c r="V44" s="26">
        <f>4.6</f>
        <v>4.5999999999999996</v>
      </c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32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</row>
    <row r="45" spans="1:105" ht="13" customHeight="1">
      <c r="A45" s="24" t="s">
        <v>137</v>
      </c>
      <c r="B45" s="24" t="s">
        <v>94</v>
      </c>
      <c r="C45" s="25" t="s">
        <v>138</v>
      </c>
      <c r="D45" s="25" t="s">
        <v>139</v>
      </c>
      <c r="E45" s="25" t="s">
        <v>142</v>
      </c>
      <c r="F45" s="25"/>
      <c r="G45" s="25"/>
      <c r="H45" s="38"/>
      <c r="I45" s="198" t="s">
        <v>104</v>
      </c>
      <c r="J45" s="199" t="s">
        <v>141</v>
      </c>
      <c r="K45" s="29">
        <f>61.7</f>
        <v>61.7</v>
      </c>
      <c r="L45" s="31">
        <f>61.8</f>
        <v>61.8</v>
      </c>
      <c r="M45" s="26">
        <f>65.9</f>
        <v>65.900000000000006</v>
      </c>
      <c r="N45" s="26">
        <f>61</f>
        <v>61</v>
      </c>
      <c r="O45" s="26">
        <f>65</f>
        <v>65</v>
      </c>
      <c r="P45" s="26">
        <f>66.4</f>
        <v>66.400000000000006</v>
      </c>
      <c r="Q45" s="26">
        <f>69.1</f>
        <v>69.099999999999994</v>
      </c>
      <c r="R45" s="26"/>
      <c r="S45" s="26"/>
      <c r="T45" s="26"/>
      <c r="U45" s="26"/>
      <c r="V45" s="26">
        <f>82.6</f>
        <v>82.6</v>
      </c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32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</row>
    <row r="46" spans="1:105" ht="13" customHeight="1">
      <c r="A46" s="24" t="s">
        <v>137</v>
      </c>
      <c r="B46" s="24" t="s">
        <v>94</v>
      </c>
      <c r="C46" s="25" t="s">
        <v>138</v>
      </c>
      <c r="D46" s="25" t="s">
        <v>139</v>
      </c>
      <c r="E46" s="25" t="s">
        <v>142</v>
      </c>
      <c r="F46" s="25"/>
      <c r="G46" s="25"/>
      <c r="H46" s="38"/>
      <c r="I46" s="198" t="s">
        <v>143</v>
      </c>
      <c r="J46" s="199" t="s">
        <v>141</v>
      </c>
      <c r="K46" s="29">
        <f>40.9</f>
        <v>40.9</v>
      </c>
      <c r="L46" s="31">
        <f>40.2</f>
        <v>40.200000000000003</v>
      </c>
      <c r="M46" s="26">
        <f>40.8</f>
        <v>40.799999999999997</v>
      </c>
      <c r="N46" s="26">
        <f>39</f>
        <v>39</v>
      </c>
      <c r="O46" s="26">
        <f>44.6</f>
        <v>44.6</v>
      </c>
      <c r="P46" s="26">
        <f>46.1</f>
        <v>46.1</v>
      </c>
      <c r="Q46" s="26">
        <f>48</f>
        <v>48</v>
      </c>
      <c r="R46" s="26"/>
      <c r="S46" s="26"/>
      <c r="T46" s="26"/>
      <c r="U46" s="26"/>
      <c r="V46" s="34">
        <f>58</f>
        <v>58</v>
      </c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32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</row>
    <row r="47" spans="1:105" ht="13" customHeight="1">
      <c r="A47" s="24" t="s">
        <v>137</v>
      </c>
      <c r="B47" s="24" t="s">
        <v>94</v>
      </c>
      <c r="C47" s="25" t="s">
        <v>138</v>
      </c>
      <c r="D47" s="25" t="s">
        <v>139</v>
      </c>
      <c r="E47" s="25" t="s">
        <v>142</v>
      </c>
      <c r="F47" s="25"/>
      <c r="G47" s="25"/>
      <c r="H47" s="38"/>
      <c r="I47" s="200" t="s">
        <v>144</v>
      </c>
      <c r="J47" s="199" t="s">
        <v>141</v>
      </c>
      <c r="K47" s="29">
        <f>26.5</f>
        <v>26.5</v>
      </c>
      <c r="L47" s="31">
        <f>25.9</f>
        <v>25.9</v>
      </c>
      <c r="M47" s="26">
        <f>29.3</f>
        <v>29.3</v>
      </c>
      <c r="N47" s="26">
        <f>26</f>
        <v>26</v>
      </c>
      <c r="O47" s="26">
        <f>24.5</f>
        <v>24.5</v>
      </c>
      <c r="P47" s="26">
        <f>24.6</f>
        <v>24.6</v>
      </c>
      <c r="Q47" s="26">
        <f>25.5</f>
        <v>25.5</v>
      </c>
      <c r="R47" s="26"/>
      <c r="S47" s="26"/>
      <c r="T47" s="26"/>
      <c r="U47" s="26"/>
      <c r="V47" s="26">
        <f>29.5</f>
        <v>29.5</v>
      </c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32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</row>
    <row r="48" spans="1:105" ht="13" customHeight="1">
      <c r="A48" s="24" t="s">
        <v>137</v>
      </c>
      <c r="B48" s="24" t="s">
        <v>94</v>
      </c>
      <c r="C48" s="25" t="s">
        <v>138</v>
      </c>
      <c r="D48" s="25" t="s">
        <v>139</v>
      </c>
      <c r="E48" s="25" t="s">
        <v>142</v>
      </c>
      <c r="F48" s="25"/>
      <c r="G48" s="25"/>
      <c r="H48" s="38"/>
      <c r="I48" s="200" t="s">
        <v>145</v>
      </c>
      <c r="J48" s="199" t="s">
        <v>141</v>
      </c>
      <c r="K48" s="29">
        <f>5.6</f>
        <v>5.6</v>
      </c>
      <c r="L48" s="31">
        <f>4.3</f>
        <v>4.3</v>
      </c>
      <c r="M48" s="26">
        <f>4.2</f>
        <v>4.2</v>
      </c>
      <c r="N48" s="26">
        <f>4</f>
        <v>4</v>
      </c>
      <c r="O48" s="26">
        <f>4.1</f>
        <v>4.0999999999999996</v>
      </c>
      <c r="P48" s="26">
        <f>4.3</f>
        <v>4.3</v>
      </c>
      <c r="Q48" s="26">
        <f>4.4</f>
        <v>4.4000000000000004</v>
      </c>
      <c r="R48" s="26"/>
      <c r="S48" s="26"/>
      <c r="T48" s="26"/>
      <c r="U48" s="26"/>
      <c r="V48" s="26">
        <f>4.9</f>
        <v>4.9000000000000004</v>
      </c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32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</row>
    <row r="49" spans="1:105" ht="13" customHeight="1">
      <c r="A49" s="24" t="s">
        <v>137</v>
      </c>
      <c r="B49" s="24" t="s">
        <v>94</v>
      </c>
      <c r="C49" s="25" t="s">
        <v>138</v>
      </c>
      <c r="D49" s="25" t="s">
        <v>139</v>
      </c>
      <c r="E49" s="25" t="s">
        <v>140</v>
      </c>
      <c r="F49" s="25"/>
      <c r="G49" s="25"/>
      <c r="H49" s="38"/>
      <c r="I49" s="200" t="s">
        <v>105</v>
      </c>
      <c r="J49" s="199" t="s">
        <v>141</v>
      </c>
      <c r="K49" s="29">
        <f>12.1</f>
        <v>12.1</v>
      </c>
      <c r="L49" s="31">
        <f>10.3</f>
        <v>10.3</v>
      </c>
      <c r="M49" s="26">
        <f>10.6</f>
        <v>10.6</v>
      </c>
      <c r="N49" s="26">
        <f>12.4</f>
        <v>12.4</v>
      </c>
      <c r="O49" s="26">
        <f>12.1</f>
        <v>12.1</v>
      </c>
      <c r="P49" s="26">
        <f>12.3</f>
        <v>12.3</v>
      </c>
      <c r="Q49" s="26">
        <f>12.4</f>
        <v>12.4</v>
      </c>
      <c r="R49" s="26"/>
      <c r="S49" s="26"/>
      <c r="T49" s="26"/>
      <c r="U49" s="26"/>
      <c r="V49" s="26">
        <f>13.3</f>
        <v>13.3</v>
      </c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32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</row>
    <row r="50" spans="1:105" ht="13" customHeight="1">
      <c r="A50" s="24" t="s">
        <v>137</v>
      </c>
      <c r="B50" s="24" t="s">
        <v>94</v>
      </c>
      <c r="C50" s="25" t="s">
        <v>138</v>
      </c>
      <c r="D50" s="25" t="s">
        <v>139</v>
      </c>
      <c r="E50" s="25" t="s">
        <v>140</v>
      </c>
      <c r="F50" s="25"/>
      <c r="G50" s="25"/>
      <c r="H50" s="38"/>
      <c r="I50" s="200" t="s">
        <v>146</v>
      </c>
      <c r="J50" s="199" t="s">
        <v>141</v>
      </c>
      <c r="K50" s="29">
        <f>11</f>
        <v>11</v>
      </c>
      <c r="L50" s="31">
        <f>8.8</f>
        <v>8.8000000000000007</v>
      </c>
      <c r="M50" s="26">
        <f>9.2</f>
        <v>9.1999999999999993</v>
      </c>
      <c r="N50" s="26">
        <f>11.2</f>
        <v>11.2</v>
      </c>
      <c r="O50" s="26">
        <f>10.9</f>
        <v>10.9</v>
      </c>
      <c r="P50" s="26">
        <f>11.1</f>
        <v>11.1</v>
      </c>
      <c r="Q50" s="26">
        <f>11.1</f>
        <v>11.1</v>
      </c>
      <c r="R50" s="26"/>
      <c r="S50" s="26"/>
      <c r="T50" s="26"/>
      <c r="U50" s="26"/>
      <c r="V50" s="26">
        <f>11.8</f>
        <v>11.8</v>
      </c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32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</row>
    <row r="51" spans="1:105" ht="13" customHeight="1">
      <c r="A51" s="24" t="s">
        <v>137</v>
      </c>
      <c r="B51" s="24" t="s">
        <v>94</v>
      </c>
      <c r="C51" s="25" t="s">
        <v>138</v>
      </c>
      <c r="D51" s="25" t="s">
        <v>139</v>
      </c>
      <c r="E51" s="25" t="s">
        <v>140</v>
      </c>
      <c r="F51" s="25"/>
      <c r="G51" s="25"/>
      <c r="H51" s="38"/>
      <c r="I51" s="200" t="s">
        <v>147</v>
      </c>
      <c r="J51" s="199" t="s">
        <v>141</v>
      </c>
      <c r="K51" s="29">
        <f>2.1</f>
        <v>2.1</v>
      </c>
      <c r="L51" s="31">
        <f>1.9</f>
        <v>1.9</v>
      </c>
      <c r="M51" s="26">
        <f>1.8</f>
        <v>1.8</v>
      </c>
      <c r="N51" s="26">
        <f>1.5</f>
        <v>1.5</v>
      </c>
      <c r="O51" s="26">
        <f>1.5</f>
        <v>1.5</v>
      </c>
      <c r="P51" s="26">
        <f>1.5</f>
        <v>1.5</v>
      </c>
      <c r="Q51" s="26">
        <f>1.6</f>
        <v>1.6</v>
      </c>
      <c r="R51" s="26"/>
      <c r="S51" s="26"/>
      <c r="T51" s="26"/>
      <c r="U51" s="26"/>
      <c r="V51" s="26">
        <f>1.8</f>
        <v>1.8</v>
      </c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32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</row>
    <row r="52" spans="1:105" ht="13" customHeight="1">
      <c r="A52" s="24" t="s">
        <v>137</v>
      </c>
      <c r="B52" s="24" t="s">
        <v>94</v>
      </c>
      <c r="C52" s="25" t="s">
        <v>138</v>
      </c>
      <c r="D52" s="25" t="s">
        <v>139</v>
      </c>
      <c r="E52" s="25" t="s">
        <v>140</v>
      </c>
      <c r="F52" s="25"/>
      <c r="G52" s="25"/>
      <c r="H52" s="38"/>
      <c r="I52" s="200" t="s">
        <v>148</v>
      </c>
      <c r="J52" s="199" t="s">
        <v>141</v>
      </c>
      <c r="K52" s="29">
        <f>1</f>
        <v>1</v>
      </c>
      <c r="L52" s="31">
        <f>0.4</f>
        <v>0.4</v>
      </c>
      <c r="M52" s="26">
        <f>0.4</f>
        <v>0.4</v>
      </c>
      <c r="N52" s="26">
        <f>0.3</f>
        <v>0.3</v>
      </c>
      <c r="O52" s="26">
        <f>0.3</f>
        <v>0.3</v>
      </c>
      <c r="P52" s="26">
        <f>0.3</f>
        <v>0.3</v>
      </c>
      <c r="Q52" s="26">
        <f>0.3</f>
        <v>0.3</v>
      </c>
      <c r="R52" s="26"/>
      <c r="S52" s="26"/>
      <c r="T52" s="26"/>
      <c r="U52" s="26"/>
      <c r="V52" s="26">
        <f>0.3</f>
        <v>0.3</v>
      </c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32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</row>
    <row r="53" spans="1:105" ht="13" customHeight="1">
      <c r="A53" s="24" t="s">
        <v>137</v>
      </c>
      <c r="B53" s="24" t="s">
        <v>94</v>
      </c>
      <c r="C53" s="25" t="s">
        <v>138</v>
      </c>
      <c r="D53" s="25" t="s">
        <v>139</v>
      </c>
      <c r="E53" s="25" t="s">
        <v>142</v>
      </c>
      <c r="F53" s="25"/>
      <c r="G53" s="25"/>
      <c r="H53" s="38"/>
      <c r="I53" s="200" t="s">
        <v>105</v>
      </c>
      <c r="J53" s="199" t="s">
        <v>141</v>
      </c>
      <c r="K53" s="29">
        <f>12.1</f>
        <v>12.1</v>
      </c>
      <c r="L53" s="31">
        <f>10.3</f>
        <v>10.3</v>
      </c>
      <c r="M53" s="26">
        <f>10.6</f>
        <v>10.6</v>
      </c>
      <c r="N53" s="26">
        <f>12.4</f>
        <v>12.4</v>
      </c>
      <c r="O53" s="26">
        <f>12.5</f>
        <v>12.5</v>
      </c>
      <c r="P53" s="26">
        <f>12.7</f>
        <v>12.7</v>
      </c>
      <c r="Q53" s="26">
        <f>12.9</f>
        <v>12.9</v>
      </c>
      <c r="R53" s="26"/>
      <c r="S53" s="26"/>
      <c r="T53" s="26"/>
      <c r="U53" s="26"/>
      <c r="V53" s="26">
        <f>14.3</f>
        <v>14.3</v>
      </c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32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</row>
    <row r="54" spans="1:105" ht="13" customHeight="1">
      <c r="A54" s="24" t="s">
        <v>137</v>
      </c>
      <c r="B54" s="24" t="s">
        <v>94</v>
      </c>
      <c r="C54" s="25" t="s">
        <v>138</v>
      </c>
      <c r="D54" s="25" t="s">
        <v>139</v>
      </c>
      <c r="E54" s="25" t="s">
        <v>142</v>
      </c>
      <c r="F54" s="25"/>
      <c r="G54" s="25"/>
      <c r="H54" s="38"/>
      <c r="I54" s="200" t="s">
        <v>146</v>
      </c>
      <c r="J54" s="199" t="s">
        <v>141</v>
      </c>
      <c r="K54" s="29">
        <f>11</f>
        <v>11</v>
      </c>
      <c r="L54" s="31">
        <f>8.8</f>
        <v>8.8000000000000007</v>
      </c>
      <c r="M54" s="26">
        <f>9.2</f>
        <v>9.1999999999999993</v>
      </c>
      <c r="N54" s="26">
        <f>11.2</f>
        <v>11.2</v>
      </c>
      <c r="O54" s="26">
        <f>11.3</f>
        <v>11.3</v>
      </c>
      <c r="P54" s="26">
        <f>11.4</f>
        <v>11.4</v>
      </c>
      <c r="Q54" s="26">
        <f>11.5</f>
        <v>11.5</v>
      </c>
      <c r="R54" s="26"/>
      <c r="S54" s="26"/>
      <c r="T54" s="26"/>
      <c r="U54" s="26"/>
      <c r="V54" s="26">
        <f>12.6</f>
        <v>12.6</v>
      </c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32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</row>
    <row r="55" spans="1:105" ht="13" customHeight="1">
      <c r="A55" s="24" t="s">
        <v>137</v>
      </c>
      <c r="B55" s="24" t="s">
        <v>94</v>
      </c>
      <c r="C55" s="25" t="s">
        <v>138</v>
      </c>
      <c r="D55" s="25" t="s">
        <v>139</v>
      </c>
      <c r="E55" s="25" t="s">
        <v>142</v>
      </c>
      <c r="F55" s="25"/>
      <c r="G55" s="25"/>
      <c r="H55" s="38"/>
      <c r="I55" s="200" t="s">
        <v>147</v>
      </c>
      <c r="J55" s="199" t="s">
        <v>141</v>
      </c>
      <c r="K55" s="29">
        <f>2.1</f>
        <v>2.1</v>
      </c>
      <c r="L55" s="31">
        <f>1.9</f>
        <v>1.9</v>
      </c>
      <c r="M55" s="26">
        <f>1.8</f>
        <v>1.8</v>
      </c>
      <c r="N55" s="26">
        <f>1.5</f>
        <v>1.5</v>
      </c>
      <c r="O55" s="26">
        <f>1.5</f>
        <v>1.5</v>
      </c>
      <c r="P55" s="26">
        <f>1.6</f>
        <v>1.6</v>
      </c>
      <c r="Q55" s="26">
        <f>1.7</f>
        <v>1.7</v>
      </c>
      <c r="R55" s="26"/>
      <c r="S55" s="26"/>
      <c r="T55" s="26"/>
      <c r="U55" s="26"/>
      <c r="V55" s="34">
        <f>2</f>
        <v>2</v>
      </c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32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</row>
    <row r="56" spans="1:105" ht="13" customHeight="1">
      <c r="A56" s="24" t="s">
        <v>137</v>
      </c>
      <c r="B56" s="24" t="s">
        <v>94</v>
      </c>
      <c r="C56" s="25" t="s">
        <v>138</v>
      </c>
      <c r="D56" s="25" t="s">
        <v>139</v>
      </c>
      <c r="E56" s="25" t="s">
        <v>142</v>
      </c>
      <c r="F56" s="25"/>
      <c r="G56" s="25"/>
      <c r="H56" s="38"/>
      <c r="I56" s="200" t="s">
        <v>148</v>
      </c>
      <c r="J56" s="199" t="s">
        <v>141</v>
      </c>
      <c r="K56" s="29">
        <f>1</f>
        <v>1</v>
      </c>
      <c r="L56" s="31">
        <f>0.4</f>
        <v>0.4</v>
      </c>
      <c r="M56" s="26">
        <f>0.4</f>
        <v>0.4</v>
      </c>
      <c r="N56" s="26">
        <f>0.3</f>
        <v>0.3</v>
      </c>
      <c r="O56" s="26">
        <f>0.3</f>
        <v>0.3</v>
      </c>
      <c r="P56" s="26">
        <f>0.3</f>
        <v>0.3</v>
      </c>
      <c r="Q56" s="26">
        <f>0.3</f>
        <v>0.3</v>
      </c>
      <c r="R56" s="26"/>
      <c r="S56" s="26"/>
      <c r="T56" s="26"/>
      <c r="U56" s="26"/>
      <c r="V56" s="26">
        <f>0.3</f>
        <v>0.3</v>
      </c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32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</row>
    <row r="57" spans="1:105" ht="13" customHeight="1">
      <c r="A57" s="24" t="s">
        <v>137</v>
      </c>
      <c r="B57" s="24" t="s">
        <v>94</v>
      </c>
      <c r="C57" s="25" t="s">
        <v>138</v>
      </c>
      <c r="D57" s="25" t="s">
        <v>139</v>
      </c>
      <c r="E57" s="25" t="s">
        <v>140</v>
      </c>
      <c r="F57" s="25"/>
      <c r="G57" s="25"/>
      <c r="H57" s="38"/>
      <c r="I57" s="200" t="s">
        <v>106</v>
      </c>
      <c r="J57" s="199" t="s">
        <v>141</v>
      </c>
      <c r="K57" s="29">
        <f>3830</f>
        <v>3830</v>
      </c>
      <c r="L57" s="31">
        <f>3928</f>
        <v>3928</v>
      </c>
      <c r="M57" s="26">
        <f>3932</f>
        <v>3932</v>
      </c>
      <c r="N57" s="26">
        <f>4010.6</f>
        <v>4010.6</v>
      </c>
      <c r="O57" s="26">
        <f>4028.3</f>
        <v>4028.3</v>
      </c>
      <c r="P57" s="26">
        <f>4095.6</f>
        <v>4095.6</v>
      </c>
      <c r="Q57" s="26">
        <f>4157</f>
        <v>4157</v>
      </c>
      <c r="R57" s="26"/>
      <c r="S57" s="26"/>
      <c r="T57" s="26"/>
      <c r="U57" s="26"/>
      <c r="V57" s="26">
        <f>4477.7</f>
        <v>4477.7</v>
      </c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32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</row>
    <row r="58" spans="1:105" ht="13" customHeight="1">
      <c r="A58" s="24" t="s">
        <v>137</v>
      </c>
      <c r="B58" s="24" t="s">
        <v>94</v>
      </c>
      <c r="C58" s="25" t="s">
        <v>138</v>
      </c>
      <c r="D58" s="25" t="s">
        <v>139</v>
      </c>
      <c r="E58" s="25" t="s">
        <v>140</v>
      </c>
      <c r="F58" s="25"/>
      <c r="G58" s="25"/>
      <c r="H58" s="38"/>
      <c r="I58" s="200" t="s">
        <v>149</v>
      </c>
      <c r="J58" s="199" t="s">
        <v>141</v>
      </c>
      <c r="K58" s="29">
        <f>1136</f>
        <v>1136</v>
      </c>
      <c r="L58" s="31">
        <f>1251</f>
        <v>1251</v>
      </c>
      <c r="M58" s="26">
        <f>1547</f>
        <v>1547</v>
      </c>
      <c r="N58" s="26">
        <f>1284</f>
        <v>1284</v>
      </c>
      <c r="O58" s="26">
        <f>1247.4</f>
        <v>1247.4000000000001</v>
      </c>
      <c r="P58" s="26">
        <f>1280.3</f>
        <v>1280.3</v>
      </c>
      <c r="Q58" s="26">
        <f>1307.5</f>
        <v>1307.5</v>
      </c>
      <c r="R58" s="26"/>
      <c r="S58" s="26"/>
      <c r="T58" s="26"/>
      <c r="U58" s="26"/>
      <c r="V58" s="26">
        <v>1452.9</v>
      </c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32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</row>
    <row r="59" spans="1:105" ht="13" customHeight="1">
      <c r="A59" s="24" t="s">
        <v>137</v>
      </c>
      <c r="B59" s="24" t="s">
        <v>94</v>
      </c>
      <c r="C59" s="25" t="s">
        <v>138</v>
      </c>
      <c r="D59" s="25" t="s">
        <v>139</v>
      </c>
      <c r="E59" s="25" t="s">
        <v>140</v>
      </c>
      <c r="F59" s="25"/>
      <c r="G59" s="25"/>
      <c r="H59" s="38"/>
      <c r="I59" s="200" t="s">
        <v>150</v>
      </c>
      <c r="J59" s="199" t="s">
        <v>141</v>
      </c>
      <c r="K59" s="29">
        <f>2733</f>
        <v>2733</v>
      </c>
      <c r="L59" s="31">
        <f>2693</f>
        <v>2693</v>
      </c>
      <c r="M59" s="26">
        <f>2407</f>
        <v>2407</v>
      </c>
      <c r="N59" s="26">
        <f>2742.2</f>
        <v>2742.2</v>
      </c>
      <c r="O59" s="26">
        <f>2796.6</f>
        <v>2796.6</v>
      </c>
      <c r="P59" s="26">
        <f>2831.5</f>
        <v>2831.5</v>
      </c>
      <c r="Q59" s="26">
        <f>2866.2</f>
        <v>2866.2</v>
      </c>
      <c r="R59" s="26"/>
      <c r="S59" s="26"/>
      <c r="T59" s="26"/>
      <c r="U59" s="26"/>
      <c r="V59" s="26">
        <f>3045.3</f>
        <v>3045.3</v>
      </c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32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</row>
    <row r="60" spans="1:105" ht="13" customHeight="1">
      <c r="A60" s="24" t="s">
        <v>137</v>
      </c>
      <c r="B60" s="24" t="s">
        <v>94</v>
      </c>
      <c r="C60" s="25" t="s">
        <v>138</v>
      </c>
      <c r="D60" s="25" t="s">
        <v>139</v>
      </c>
      <c r="E60" s="25" t="s">
        <v>140</v>
      </c>
      <c r="F60" s="25"/>
      <c r="G60" s="25"/>
      <c r="H60" s="38"/>
      <c r="I60" s="200" t="s">
        <v>151</v>
      </c>
      <c r="J60" s="199" t="s">
        <v>141</v>
      </c>
      <c r="K60" s="29">
        <f>36</f>
        <v>36</v>
      </c>
      <c r="L60" s="31">
        <f>17</f>
        <v>17</v>
      </c>
      <c r="M60" s="26">
        <f>23</f>
        <v>23</v>
      </c>
      <c r="N60" s="26">
        <f>15.6</f>
        <v>15.6</v>
      </c>
      <c r="O60" s="26">
        <f>15.6</f>
        <v>15.6</v>
      </c>
      <c r="P60" s="26">
        <f>16.1</f>
        <v>16.100000000000001</v>
      </c>
      <c r="Q60" s="26">
        <f>16.8</f>
        <v>16.8</v>
      </c>
      <c r="R60" s="26"/>
      <c r="S60" s="26"/>
      <c r="T60" s="26"/>
      <c r="U60" s="26"/>
      <c r="V60" s="26">
        <f>20.4</f>
        <v>20.399999999999999</v>
      </c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32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</row>
    <row r="61" spans="1:105" ht="13" customHeight="1">
      <c r="A61" s="24" t="s">
        <v>137</v>
      </c>
      <c r="B61" s="24" t="s">
        <v>94</v>
      </c>
      <c r="C61" s="25" t="s">
        <v>138</v>
      </c>
      <c r="D61" s="25" t="s">
        <v>139</v>
      </c>
      <c r="E61" s="25" t="s">
        <v>142</v>
      </c>
      <c r="F61" s="25"/>
      <c r="G61" s="25"/>
      <c r="H61" s="38"/>
      <c r="I61" s="200" t="s">
        <v>106</v>
      </c>
      <c r="J61" s="199" t="s">
        <v>152</v>
      </c>
      <c r="K61" s="29">
        <f>3830</f>
        <v>3830</v>
      </c>
      <c r="L61" s="31">
        <f>3928</f>
        <v>3928</v>
      </c>
      <c r="M61" s="26">
        <f>3932</f>
        <v>3932</v>
      </c>
      <c r="N61" s="26">
        <f>4230</f>
        <v>4230</v>
      </c>
      <c r="O61" s="26">
        <f>4248.7</f>
        <v>4248.7</v>
      </c>
      <c r="P61" s="26">
        <f>4322</f>
        <v>4322</v>
      </c>
      <c r="Q61" s="26">
        <f>4413.6</f>
        <v>4413.6000000000004</v>
      </c>
      <c r="R61" s="26"/>
      <c r="S61" s="26"/>
      <c r="T61" s="26"/>
      <c r="U61" s="26"/>
      <c r="V61" s="26">
        <f>4901.1</f>
        <v>4901.1000000000004</v>
      </c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32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</row>
    <row r="62" spans="1:105" ht="13" customHeight="1">
      <c r="A62" s="24" t="s">
        <v>137</v>
      </c>
      <c r="B62" s="24" t="s">
        <v>94</v>
      </c>
      <c r="C62" s="25" t="s">
        <v>138</v>
      </c>
      <c r="D62" s="25" t="s">
        <v>139</v>
      </c>
      <c r="E62" s="25" t="s">
        <v>142</v>
      </c>
      <c r="F62" s="25"/>
      <c r="G62" s="25"/>
      <c r="H62" s="38"/>
      <c r="I62" s="200" t="s">
        <v>149</v>
      </c>
      <c r="J62" s="199" t="s">
        <v>152</v>
      </c>
      <c r="K62" s="29">
        <f>1136</f>
        <v>1136</v>
      </c>
      <c r="L62" s="31">
        <f>1251</f>
        <v>1251</v>
      </c>
      <c r="M62" s="26">
        <f>1547</f>
        <v>1547</v>
      </c>
      <c r="N62" s="26">
        <f>1315</f>
        <v>1315</v>
      </c>
      <c r="O62" s="26">
        <f>1388.4</f>
        <v>1388.4</v>
      </c>
      <c r="P62" s="26">
        <f>1429</f>
        <v>1429</v>
      </c>
      <c r="Q62" s="26">
        <f>1472</f>
        <v>1472</v>
      </c>
      <c r="R62" s="26"/>
      <c r="S62" s="26"/>
      <c r="T62" s="26"/>
      <c r="U62" s="26"/>
      <c r="V62" s="26">
        <f>1804.8</f>
        <v>1804.8</v>
      </c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32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</row>
    <row r="63" spans="1:105" ht="13" customHeight="1">
      <c r="A63" s="24" t="s">
        <v>137</v>
      </c>
      <c r="B63" s="24" t="s">
        <v>94</v>
      </c>
      <c r="C63" s="25" t="s">
        <v>138</v>
      </c>
      <c r="D63" s="25" t="s">
        <v>139</v>
      </c>
      <c r="E63" s="25" t="s">
        <v>142</v>
      </c>
      <c r="F63" s="25"/>
      <c r="G63" s="25"/>
      <c r="H63" s="38"/>
      <c r="I63" s="200" t="s">
        <v>150</v>
      </c>
      <c r="J63" s="199" t="s">
        <v>152</v>
      </c>
      <c r="K63" s="29">
        <f>2733</f>
        <v>2733</v>
      </c>
      <c r="L63" s="31">
        <f>2693</f>
        <v>2693</v>
      </c>
      <c r="M63" s="26">
        <f>2407</f>
        <v>2407</v>
      </c>
      <c r="N63" s="26">
        <f>2931.9</f>
        <v>2931.9</v>
      </c>
      <c r="O63" s="26">
        <f>2877.9</f>
        <v>2877.9</v>
      </c>
      <c r="P63" s="26">
        <f>2911.5</f>
        <v>2911.5</v>
      </c>
      <c r="Q63" s="26">
        <f>2960.6</f>
        <v>2960.6</v>
      </c>
      <c r="R63" s="26"/>
      <c r="S63" s="26"/>
      <c r="T63" s="26"/>
      <c r="U63" s="26"/>
      <c r="V63" s="26">
        <v>3118.9</v>
      </c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32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</row>
    <row r="64" spans="1:105" ht="13" customHeight="1">
      <c r="A64" s="24" t="s">
        <v>137</v>
      </c>
      <c r="B64" s="24" t="s">
        <v>94</v>
      </c>
      <c r="C64" s="25" t="s">
        <v>138</v>
      </c>
      <c r="D64" s="25" t="s">
        <v>139</v>
      </c>
      <c r="E64" s="25" t="s">
        <v>142</v>
      </c>
      <c r="F64" s="25"/>
      <c r="G64" s="25"/>
      <c r="H64" s="38"/>
      <c r="I64" s="200" t="s">
        <v>151</v>
      </c>
      <c r="J64" s="199" t="s">
        <v>152</v>
      </c>
      <c r="K64" s="29">
        <f>36</f>
        <v>36</v>
      </c>
      <c r="L64" s="31">
        <f>17</f>
        <v>17</v>
      </c>
      <c r="M64" s="26">
        <f>23</f>
        <v>23</v>
      </c>
      <c r="N64" s="26">
        <f>16.9</f>
        <v>16.899999999999999</v>
      </c>
      <c r="O64" s="26">
        <f>17.6</f>
        <v>17.600000000000001</v>
      </c>
      <c r="P64" s="26">
        <f>18.5</f>
        <v>18.5</v>
      </c>
      <c r="Q64" s="26">
        <f>19.1</f>
        <v>19.100000000000001</v>
      </c>
      <c r="R64" s="26"/>
      <c r="S64" s="26"/>
      <c r="T64" s="26"/>
      <c r="U64" s="26"/>
      <c r="V64" s="26">
        <f>22.7</f>
        <v>22.7</v>
      </c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32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</row>
    <row r="65" spans="1:105" ht="13" customHeight="1">
      <c r="A65" s="24" t="s">
        <v>137</v>
      </c>
      <c r="B65" s="24" t="s">
        <v>94</v>
      </c>
      <c r="C65" s="25" t="s">
        <v>138</v>
      </c>
      <c r="D65" s="25" t="s">
        <v>139</v>
      </c>
      <c r="E65" s="25" t="s">
        <v>140</v>
      </c>
      <c r="F65" s="25"/>
      <c r="G65" s="25"/>
      <c r="H65" s="38"/>
      <c r="I65" s="200" t="s">
        <v>107</v>
      </c>
      <c r="J65" s="199" t="s">
        <v>152</v>
      </c>
      <c r="K65" s="29">
        <f>1015</f>
        <v>1015</v>
      </c>
      <c r="L65" s="31">
        <f>1039</f>
        <v>1039</v>
      </c>
      <c r="M65" s="26">
        <f>989</f>
        <v>989</v>
      </c>
      <c r="N65" s="26">
        <f>950</f>
        <v>950</v>
      </c>
      <c r="O65" s="26">
        <f>937.4</f>
        <v>937.4</v>
      </c>
      <c r="P65" s="26">
        <f>1003.2</f>
        <v>1003.2</v>
      </c>
      <c r="Q65" s="26">
        <f>1018.2</f>
        <v>1018.2</v>
      </c>
      <c r="R65" s="26"/>
      <c r="S65" s="26"/>
      <c r="T65" s="26"/>
      <c r="U65" s="26"/>
      <c r="V65" s="26">
        <f>1095.6</f>
        <v>1095.5999999999999</v>
      </c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32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</row>
    <row r="66" spans="1:105" ht="13" customHeight="1">
      <c r="A66" s="24" t="s">
        <v>137</v>
      </c>
      <c r="B66" s="24" t="s">
        <v>94</v>
      </c>
      <c r="C66" s="25" t="s">
        <v>138</v>
      </c>
      <c r="D66" s="25" t="s">
        <v>139</v>
      </c>
      <c r="E66" s="25" t="s">
        <v>140</v>
      </c>
      <c r="F66" s="25"/>
      <c r="G66" s="25"/>
      <c r="H66" s="38"/>
      <c r="I66" s="200" t="s">
        <v>153</v>
      </c>
      <c r="J66" s="199" t="s">
        <v>152</v>
      </c>
      <c r="K66" s="29">
        <f>315</f>
        <v>315</v>
      </c>
      <c r="L66" s="31">
        <f>270</f>
        <v>270</v>
      </c>
      <c r="M66" s="26">
        <f>531</f>
        <v>531</v>
      </c>
      <c r="N66" s="26">
        <f>220</f>
        <v>220</v>
      </c>
      <c r="O66" s="26">
        <f>213.7</f>
        <v>213.7</v>
      </c>
      <c r="P66" s="26">
        <f>219.4</f>
        <v>219.4</v>
      </c>
      <c r="Q66" s="34">
        <f>224</f>
        <v>224</v>
      </c>
      <c r="R66" s="26"/>
      <c r="S66" s="26"/>
      <c r="T66" s="26"/>
      <c r="U66" s="26"/>
      <c r="V66" s="26">
        <v>248.9</v>
      </c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32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</row>
    <row r="67" spans="1:105" ht="13" customHeight="1">
      <c r="A67" s="24" t="s">
        <v>137</v>
      </c>
      <c r="B67" s="24" t="s">
        <v>94</v>
      </c>
      <c r="C67" s="25" t="s">
        <v>138</v>
      </c>
      <c r="D67" s="25" t="s">
        <v>139</v>
      </c>
      <c r="E67" s="25" t="s">
        <v>140</v>
      </c>
      <c r="F67" s="25"/>
      <c r="G67" s="25"/>
      <c r="H67" s="38"/>
      <c r="I67" s="200" t="s">
        <v>154</v>
      </c>
      <c r="J67" s="199" t="s">
        <v>152</v>
      </c>
      <c r="K67" s="29">
        <f>702</f>
        <v>702</v>
      </c>
      <c r="L67" s="31">
        <f>775</f>
        <v>775</v>
      </c>
      <c r="M67" s="26">
        <f>463</f>
        <v>463</v>
      </c>
      <c r="N67" s="26">
        <f>730</f>
        <v>730</v>
      </c>
      <c r="O67" s="26">
        <f>723.7</f>
        <v>723.7</v>
      </c>
      <c r="P67" s="26">
        <f>783.8</f>
        <v>783.8</v>
      </c>
      <c r="Q67" s="26">
        <f>794.4</f>
        <v>794.4</v>
      </c>
      <c r="R67" s="26"/>
      <c r="S67" s="26"/>
      <c r="T67" s="26"/>
      <c r="U67" s="26"/>
      <c r="V67" s="26">
        <v>846.6</v>
      </c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32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</row>
    <row r="68" spans="1:105" ht="13" customHeight="1">
      <c r="A68" s="24" t="s">
        <v>137</v>
      </c>
      <c r="B68" s="24" t="s">
        <v>94</v>
      </c>
      <c r="C68" s="25" t="s">
        <v>138</v>
      </c>
      <c r="D68" s="25" t="s">
        <v>139</v>
      </c>
      <c r="E68" s="25" t="s">
        <v>140</v>
      </c>
      <c r="F68" s="25"/>
      <c r="G68" s="25"/>
      <c r="H68" s="38"/>
      <c r="I68" s="200" t="s">
        <v>155</v>
      </c>
      <c r="J68" s="199" t="s">
        <v>152</v>
      </c>
      <c r="K68" s="29">
        <f>2</f>
        <v>2</v>
      </c>
      <c r="L68" s="31">
        <f>6</f>
        <v>6</v>
      </c>
      <c r="M68" s="26">
        <f>5</f>
        <v>5</v>
      </c>
      <c r="N68" s="26">
        <f>0</f>
        <v>0</v>
      </c>
      <c r="O68" s="26">
        <f>0</f>
        <v>0</v>
      </c>
      <c r="P68" s="26">
        <f>0</f>
        <v>0</v>
      </c>
      <c r="Q68" s="26">
        <f>0</f>
        <v>0</v>
      </c>
      <c r="R68" s="26"/>
      <c r="S68" s="26"/>
      <c r="T68" s="26"/>
      <c r="U68" s="26"/>
      <c r="V68" s="26">
        <f>0</f>
        <v>0</v>
      </c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32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</row>
    <row r="69" spans="1:105" ht="13" customHeight="1">
      <c r="A69" s="24" t="s">
        <v>137</v>
      </c>
      <c r="B69" s="24" t="s">
        <v>94</v>
      </c>
      <c r="C69" s="25" t="s">
        <v>138</v>
      </c>
      <c r="D69" s="25" t="s">
        <v>139</v>
      </c>
      <c r="E69" s="25" t="s">
        <v>142</v>
      </c>
      <c r="F69" s="25"/>
      <c r="G69" s="25"/>
      <c r="H69" s="38"/>
      <c r="I69" s="200" t="s">
        <v>107</v>
      </c>
      <c r="J69" s="199" t="s">
        <v>152</v>
      </c>
      <c r="K69" s="29">
        <f>1015</f>
        <v>1015</v>
      </c>
      <c r="L69" s="31">
        <f>1039</f>
        <v>1039</v>
      </c>
      <c r="M69" s="26">
        <f>989</f>
        <v>989</v>
      </c>
      <c r="N69" s="26">
        <f>1000</f>
        <v>1000</v>
      </c>
      <c r="O69" s="26">
        <f>1018.4</f>
        <v>1018.4</v>
      </c>
      <c r="P69" s="26">
        <f>1088.8</f>
        <v>1088.8</v>
      </c>
      <c r="Q69" s="26">
        <f>1111.4</f>
        <v>1111.4000000000001</v>
      </c>
      <c r="R69" s="26"/>
      <c r="S69" s="26"/>
      <c r="T69" s="26"/>
      <c r="U69" s="26"/>
      <c r="V69" s="26">
        <f>1230.6</f>
        <v>1230.5999999999999</v>
      </c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32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</row>
    <row r="70" spans="1:105" ht="13" customHeight="1">
      <c r="A70" s="24" t="s">
        <v>137</v>
      </c>
      <c r="B70" s="24" t="s">
        <v>94</v>
      </c>
      <c r="C70" s="25" t="s">
        <v>138</v>
      </c>
      <c r="D70" s="25" t="s">
        <v>139</v>
      </c>
      <c r="E70" s="25" t="s">
        <v>142</v>
      </c>
      <c r="F70" s="25"/>
      <c r="G70" s="25"/>
      <c r="H70" s="38"/>
      <c r="I70" s="200" t="s">
        <v>153</v>
      </c>
      <c r="J70" s="199" t="s">
        <v>152</v>
      </c>
      <c r="K70" s="29">
        <f>315</f>
        <v>315</v>
      </c>
      <c r="L70" s="31">
        <f>270</f>
        <v>270</v>
      </c>
      <c r="M70" s="26">
        <f>531</f>
        <v>531</v>
      </c>
      <c r="N70" s="26">
        <f>250</f>
        <v>250</v>
      </c>
      <c r="O70" s="26">
        <f>251.6</f>
        <v>251.6</v>
      </c>
      <c r="P70" s="26">
        <f>257.5</f>
        <v>257.5</v>
      </c>
      <c r="Q70" s="26">
        <f>262.5</f>
        <v>262.5</v>
      </c>
      <c r="R70" s="26"/>
      <c r="S70" s="26"/>
      <c r="T70" s="26"/>
      <c r="U70" s="26"/>
      <c r="V70" s="26">
        <f>317.1</f>
        <v>317.10000000000002</v>
      </c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32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</row>
    <row r="71" spans="1:105" ht="13" customHeight="1">
      <c r="A71" s="24" t="s">
        <v>137</v>
      </c>
      <c r="B71" s="24" t="s">
        <v>94</v>
      </c>
      <c r="C71" s="25" t="s">
        <v>138</v>
      </c>
      <c r="D71" s="25" t="s">
        <v>139</v>
      </c>
      <c r="E71" s="25" t="s">
        <v>142</v>
      </c>
      <c r="F71" s="25"/>
      <c r="G71" s="25"/>
      <c r="H71" s="38"/>
      <c r="I71" s="200" t="s">
        <v>154</v>
      </c>
      <c r="J71" s="199" t="s">
        <v>152</v>
      </c>
      <c r="K71" s="29">
        <f>702</f>
        <v>702</v>
      </c>
      <c r="L71" s="31">
        <f>775</f>
        <v>775</v>
      </c>
      <c r="M71" s="26">
        <f>463</f>
        <v>463</v>
      </c>
      <c r="N71" s="26">
        <f>750</f>
        <v>750</v>
      </c>
      <c r="O71" s="26">
        <f>766.8</f>
        <v>766.8</v>
      </c>
      <c r="P71" s="26">
        <f>831.2</f>
        <v>831.2</v>
      </c>
      <c r="Q71" s="26">
        <f>848.9</f>
        <v>848.9</v>
      </c>
      <c r="R71" s="26"/>
      <c r="S71" s="26"/>
      <c r="T71" s="26"/>
      <c r="U71" s="26"/>
      <c r="V71" s="26">
        <f>913.5</f>
        <v>913.5</v>
      </c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32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</row>
    <row r="72" spans="1:105" ht="13" customHeight="1">
      <c r="A72" s="24" t="s">
        <v>137</v>
      </c>
      <c r="B72" s="24" t="s">
        <v>94</v>
      </c>
      <c r="C72" s="25" t="s">
        <v>138</v>
      </c>
      <c r="D72" s="25" t="s">
        <v>139</v>
      </c>
      <c r="E72" s="25" t="s">
        <v>142</v>
      </c>
      <c r="F72" s="25"/>
      <c r="G72" s="25"/>
      <c r="H72" s="38"/>
      <c r="I72" s="200" t="s">
        <v>155</v>
      </c>
      <c r="J72" s="199" t="s">
        <v>152</v>
      </c>
      <c r="K72" s="29">
        <f>2</f>
        <v>2</v>
      </c>
      <c r="L72" s="31">
        <f>6</f>
        <v>6</v>
      </c>
      <c r="M72" s="26">
        <f>5</f>
        <v>5</v>
      </c>
      <c r="N72" s="26">
        <f>0</f>
        <v>0</v>
      </c>
      <c r="O72" s="26">
        <f>0</f>
        <v>0</v>
      </c>
      <c r="P72" s="26">
        <f>0</f>
        <v>0</v>
      </c>
      <c r="Q72" s="26">
        <f>0</f>
        <v>0</v>
      </c>
      <c r="R72" s="26"/>
      <c r="S72" s="26"/>
      <c r="T72" s="26"/>
      <c r="U72" s="26"/>
      <c r="V72" s="26">
        <f>0</f>
        <v>0</v>
      </c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32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</row>
    <row r="73" spans="1:105" ht="13" customHeight="1">
      <c r="A73" s="24" t="s">
        <v>137</v>
      </c>
      <c r="B73" s="24" t="s">
        <v>94</v>
      </c>
      <c r="C73" s="25" t="s">
        <v>138</v>
      </c>
      <c r="D73" s="25" t="s">
        <v>139</v>
      </c>
      <c r="E73" s="25" t="s">
        <v>140</v>
      </c>
      <c r="F73" s="25"/>
      <c r="G73" s="25"/>
      <c r="H73" s="38"/>
      <c r="I73" s="200" t="s">
        <v>108</v>
      </c>
      <c r="J73" s="199" t="s">
        <v>152</v>
      </c>
      <c r="K73" s="29">
        <f>228</f>
        <v>228</v>
      </c>
      <c r="L73" s="31">
        <f>236</f>
        <v>236</v>
      </c>
      <c r="M73" s="26">
        <f>193</f>
        <v>193</v>
      </c>
      <c r="N73" s="26">
        <f>200</f>
        <v>200</v>
      </c>
      <c r="O73" s="26">
        <f>194.5</f>
        <v>194.5</v>
      </c>
      <c r="P73" s="26">
        <f>197.8</f>
        <v>197.8</v>
      </c>
      <c r="Q73" s="26">
        <f>200.8</f>
        <v>200.8</v>
      </c>
      <c r="R73" s="26"/>
      <c r="S73" s="26"/>
      <c r="T73" s="26"/>
      <c r="U73" s="26"/>
      <c r="V73" s="26">
        <f>216.2</f>
        <v>216.2</v>
      </c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32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</row>
    <row r="74" spans="1:105" ht="13" customHeight="1">
      <c r="A74" s="24" t="s">
        <v>137</v>
      </c>
      <c r="B74" s="24" t="s">
        <v>94</v>
      </c>
      <c r="C74" s="25" t="s">
        <v>138</v>
      </c>
      <c r="D74" s="25" t="s">
        <v>139</v>
      </c>
      <c r="E74" s="25" t="s">
        <v>140</v>
      </c>
      <c r="F74" s="25"/>
      <c r="G74" s="25"/>
      <c r="H74" s="38"/>
      <c r="I74" s="200" t="s">
        <v>156</v>
      </c>
      <c r="J74" s="199" t="s">
        <v>152</v>
      </c>
      <c r="K74" s="29">
        <f>19</f>
        <v>19</v>
      </c>
      <c r="L74" s="31">
        <f>19</f>
        <v>19</v>
      </c>
      <c r="M74" s="26">
        <f>20</f>
        <v>20</v>
      </c>
      <c r="N74" s="26">
        <f>18</f>
        <v>18</v>
      </c>
      <c r="O74" s="26">
        <f>17.5</f>
        <v>17.5</v>
      </c>
      <c r="P74" s="26">
        <f>17.9</f>
        <v>17.899999999999999</v>
      </c>
      <c r="Q74" s="34">
        <f>18.3</f>
        <v>18.3</v>
      </c>
      <c r="R74" s="26"/>
      <c r="S74" s="26"/>
      <c r="T74" s="26"/>
      <c r="U74" s="26"/>
      <c r="V74" s="26">
        <f>20.4</f>
        <v>20.399999999999999</v>
      </c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32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</row>
    <row r="75" spans="1:105" ht="13" customHeight="1">
      <c r="A75" s="24" t="s">
        <v>137</v>
      </c>
      <c r="B75" s="24" t="s">
        <v>94</v>
      </c>
      <c r="C75" s="25" t="s">
        <v>138</v>
      </c>
      <c r="D75" s="25" t="s">
        <v>139</v>
      </c>
      <c r="E75" s="25" t="s">
        <v>140</v>
      </c>
      <c r="F75" s="25"/>
      <c r="G75" s="25"/>
      <c r="H75" s="38"/>
      <c r="I75" s="200" t="s">
        <v>157</v>
      </c>
      <c r="J75" s="199" t="s">
        <v>152</v>
      </c>
      <c r="K75" s="29">
        <f>209</f>
        <v>209</v>
      </c>
      <c r="L75" s="31">
        <f>217</f>
        <v>217</v>
      </c>
      <c r="M75" s="26">
        <f>173</f>
        <v>173</v>
      </c>
      <c r="N75" s="26">
        <f>182.4</f>
        <v>182.4</v>
      </c>
      <c r="O75" s="26">
        <f>177.5</f>
        <v>177.5</v>
      </c>
      <c r="P75" s="26">
        <f>180.3</f>
        <v>180.3</v>
      </c>
      <c r="Q75" s="26">
        <f>182.9</f>
        <v>182.9</v>
      </c>
      <c r="R75" s="26"/>
      <c r="S75" s="26"/>
      <c r="T75" s="26"/>
      <c r="U75" s="26"/>
      <c r="V75" s="26">
        <f>196.4</f>
        <v>196.4</v>
      </c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32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</row>
    <row r="76" spans="1:105" ht="13" customHeight="1">
      <c r="A76" s="24" t="s">
        <v>137</v>
      </c>
      <c r="B76" s="24" t="s">
        <v>94</v>
      </c>
      <c r="C76" s="25" t="s">
        <v>138</v>
      </c>
      <c r="D76" s="25" t="s">
        <v>139</v>
      </c>
      <c r="E76" s="25" t="s">
        <v>140</v>
      </c>
      <c r="F76" s="25"/>
      <c r="G76" s="25"/>
      <c r="H76" s="38"/>
      <c r="I76" s="200" t="s">
        <v>158</v>
      </c>
      <c r="J76" s="199" t="s">
        <v>152</v>
      </c>
      <c r="K76" s="29">
        <f>0.5</f>
        <v>0.5</v>
      </c>
      <c r="L76" s="31">
        <f>0.5</f>
        <v>0.5</v>
      </c>
      <c r="M76" s="26">
        <f>4</f>
        <v>4</v>
      </c>
      <c r="N76" s="26">
        <f>0.4</f>
        <v>0.4</v>
      </c>
      <c r="O76" s="26">
        <f>0.4</f>
        <v>0.4</v>
      </c>
      <c r="P76" s="26">
        <f>0.4</f>
        <v>0.4</v>
      </c>
      <c r="Q76" s="26">
        <f>0.4</f>
        <v>0.4</v>
      </c>
      <c r="R76" s="26"/>
      <c r="S76" s="26"/>
      <c r="T76" s="26"/>
      <c r="U76" s="26"/>
      <c r="V76" s="26">
        <f>0.5</f>
        <v>0.5</v>
      </c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32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</row>
    <row r="77" spans="1:105" ht="13" customHeight="1">
      <c r="A77" s="24" t="s">
        <v>137</v>
      </c>
      <c r="B77" s="24" t="s">
        <v>94</v>
      </c>
      <c r="C77" s="25" t="s">
        <v>138</v>
      </c>
      <c r="D77" s="25" t="s">
        <v>139</v>
      </c>
      <c r="E77" s="25" t="s">
        <v>142</v>
      </c>
      <c r="F77" s="25"/>
      <c r="G77" s="25"/>
      <c r="H77" s="38"/>
      <c r="I77" s="200" t="s">
        <v>108</v>
      </c>
      <c r="J77" s="199" t="s">
        <v>152</v>
      </c>
      <c r="K77" s="29">
        <f>228</f>
        <v>228</v>
      </c>
      <c r="L77" s="31">
        <f>236</f>
        <v>236</v>
      </c>
      <c r="M77" s="26">
        <f>193</f>
        <v>193</v>
      </c>
      <c r="N77" s="26">
        <f>215</f>
        <v>215</v>
      </c>
      <c r="O77" s="26">
        <f>215.9</f>
        <v>215.9</v>
      </c>
      <c r="P77" s="26">
        <f>219.7</f>
        <v>219.7</v>
      </c>
      <c r="Q77" s="26">
        <f>224.3</f>
        <v>224.3</v>
      </c>
      <c r="R77" s="26"/>
      <c r="S77" s="26"/>
      <c r="T77" s="26"/>
      <c r="U77" s="26"/>
      <c r="V77" s="26">
        <f>249.1</f>
        <v>249.1</v>
      </c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32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</row>
    <row r="78" spans="1:105" ht="13" customHeight="1">
      <c r="A78" s="24" t="s">
        <v>137</v>
      </c>
      <c r="B78" s="24" t="s">
        <v>94</v>
      </c>
      <c r="C78" s="25" t="s">
        <v>138</v>
      </c>
      <c r="D78" s="25" t="s">
        <v>139</v>
      </c>
      <c r="E78" s="25" t="s">
        <v>142</v>
      </c>
      <c r="F78" s="25"/>
      <c r="G78" s="25"/>
      <c r="H78" s="38"/>
      <c r="I78" s="200" t="s">
        <v>156</v>
      </c>
      <c r="J78" s="199" t="s">
        <v>152</v>
      </c>
      <c r="K78" s="29">
        <f>19</f>
        <v>19</v>
      </c>
      <c r="L78" s="31">
        <f>19</f>
        <v>19</v>
      </c>
      <c r="M78" s="26">
        <f>20</f>
        <v>20</v>
      </c>
      <c r="N78" s="26">
        <f>20</f>
        <v>20</v>
      </c>
      <c r="O78" s="26">
        <f>21.1</f>
        <v>21.1</v>
      </c>
      <c r="P78" s="26">
        <f>22.6</f>
        <v>22.6</v>
      </c>
      <c r="Q78" s="26">
        <f>29.8</f>
        <v>29.8</v>
      </c>
      <c r="R78" s="26"/>
      <c r="S78" s="26"/>
      <c r="T78" s="26"/>
      <c r="U78" s="26"/>
      <c r="V78" s="26">
        <f>63.3</f>
        <v>63.3</v>
      </c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32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</row>
    <row r="79" spans="1:105" ht="13" customHeight="1">
      <c r="A79" s="24" t="s">
        <v>137</v>
      </c>
      <c r="B79" s="24" t="s">
        <v>94</v>
      </c>
      <c r="C79" s="25" t="s">
        <v>138</v>
      </c>
      <c r="D79" s="25" t="s">
        <v>139</v>
      </c>
      <c r="E79" s="25" t="s">
        <v>142</v>
      </c>
      <c r="F79" s="25"/>
      <c r="G79" s="25"/>
      <c r="H79" s="38"/>
      <c r="I79" s="200" t="s">
        <v>157</v>
      </c>
      <c r="J79" s="199" t="s">
        <v>152</v>
      </c>
      <c r="K79" s="29">
        <f>209</f>
        <v>209</v>
      </c>
      <c r="L79" s="31">
        <f>217</f>
        <v>217</v>
      </c>
      <c r="M79" s="26">
        <f>173</f>
        <v>173</v>
      </c>
      <c r="N79" s="26">
        <f>195.4</f>
        <v>195.4</v>
      </c>
      <c r="O79" s="26">
        <f>195.3</f>
        <v>195.3</v>
      </c>
      <c r="P79" s="26">
        <f>197.5</f>
        <v>197.5</v>
      </c>
      <c r="Q79" s="26">
        <f>195</f>
        <v>195</v>
      </c>
      <c r="R79" s="26"/>
      <c r="S79" s="26"/>
      <c r="T79" s="26"/>
      <c r="U79" s="26"/>
      <c r="V79" s="26">
        <f>186.3</f>
        <v>186.3</v>
      </c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32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</row>
    <row r="80" spans="1:105" ht="13" customHeight="1">
      <c r="A80" s="24" t="s">
        <v>137</v>
      </c>
      <c r="B80" s="24" t="s">
        <v>94</v>
      </c>
      <c r="C80" s="25" t="s">
        <v>138</v>
      </c>
      <c r="D80" s="25" t="s">
        <v>139</v>
      </c>
      <c r="E80" s="25" t="s">
        <v>142</v>
      </c>
      <c r="F80" s="25"/>
      <c r="G80" s="25"/>
      <c r="H80" s="38"/>
      <c r="I80" s="200" t="s">
        <v>158</v>
      </c>
      <c r="J80" s="199" t="s">
        <v>152</v>
      </c>
      <c r="K80" s="29">
        <f>0.5</f>
        <v>0.5</v>
      </c>
      <c r="L80" s="31">
        <f>0.5</f>
        <v>0.5</v>
      </c>
      <c r="M80" s="26">
        <f>4</f>
        <v>4</v>
      </c>
      <c r="N80" s="26">
        <f>0.4</f>
        <v>0.4</v>
      </c>
      <c r="O80" s="26">
        <f>0.4</f>
        <v>0.4</v>
      </c>
      <c r="P80" s="26">
        <f>0.4</f>
        <v>0.4</v>
      </c>
      <c r="Q80" s="26">
        <f>0.5</f>
        <v>0.5</v>
      </c>
      <c r="R80" s="26"/>
      <c r="S80" s="26"/>
      <c r="T80" s="26"/>
      <c r="U80" s="26"/>
      <c r="V80" s="26">
        <f>0.5</f>
        <v>0.5</v>
      </c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32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</row>
    <row r="81" spans="1:105" ht="13" customHeight="1">
      <c r="A81" s="24" t="s">
        <v>137</v>
      </c>
      <c r="B81" s="24" t="s">
        <v>94</v>
      </c>
      <c r="C81" s="25" t="s">
        <v>138</v>
      </c>
      <c r="D81" s="25" t="s">
        <v>139</v>
      </c>
      <c r="E81" s="25" t="s">
        <v>140</v>
      </c>
      <c r="F81" s="25"/>
      <c r="G81" s="25"/>
      <c r="H81" s="38"/>
      <c r="I81" s="200" t="s">
        <v>109</v>
      </c>
      <c r="J81" s="199" t="s">
        <v>152</v>
      </c>
      <c r="K81" s="29">
        <f>207</f>
        <v>207</v>
      </c>
      <c r="L81" s="31">
        <f>212</f>
        <v>212</v>
      </c>
      <c r="M81" s="26">
        <f>195</f>
        <v>195</v>
      </c>
      <c r="N81" s="26">
        <f>190</f>
        <v>190</v>
      </c>
      <c r="O81" s="26">
        <f>195</f>
        <v>195</v>
      </c>
      <c r="P81" s="26">
        <f>200</f>
        <v>200</v>
      </c>
      <c r="Q81" s="26">
        <f>210</f>
        <v>210</v>
      </c>
      <c r="R81" s="26"/>
      <c r="S81" s="26"/>
      <c r="T81" s="26"/>
      <c r="U81" s="26"/>
      <c r="V81" s="26">
        <f>210</f>
        <v>210</v>
      </c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32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</row>
    <row r="82" spans="1:105" ht="13" customHeight="1">
      <c r="A82" s="24" t="s">
        <v>137</v>
      </c>
      <c r="B82" s="24" t="s">
        <v>94</v>
      </c>
      <c r="C82" s="25" t="s">
        <v>138</v>
      </c>
      <c r="D82" s="25" t="s">
        <v>139</v>
      </c>
      <c r="E82" s="25" t="s">
        <v>140</v>
      </c>
      <c r="F82" s="25"/>
      <c r="G82" s="25"/>
      <c r="H82" s="38"/>
      <c r="I82" s="200" t="s">
        <v>159</v>
      </c>
      <c r="J82" s="199" t="s">
        <v>152</v>
      </c>
      <c r="K82" s="29">
        <f>264</f>
        <v>264</v>
      </c>
      <c r="L82" s="31">
        <f>240</f>
        <v>240</v>
      </c>
      <c r="M82" s="26">
        <f>259</f>
        <v>259</v>
      </c>
      <c r="N82" s="26">
        <f>190</f>
        <v>190</v>
      </c>
      <c r="O82" s="26">
        <f>170</f>
        <v>170</v>
      </c>
      <c r="P82" s="26">
        <f>165</f>
        <v>165</v>
      </c>
      <c r="Q82" s="34">
        <f>160</f>
        <v>160</v>
      </c>
      <c r="R82" s="26"/>
      <c r="S82" s="26"/>
      <c r="T82" s="26"/>
      <c r="U82" s="26"/>
      <c r="V82" s="26">
        <f>185</f>
        <v>185</v>
      </c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32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</row>
    <row r="83" spans="1:105" ht="13" customHeight="1">
      <c r="A83" s="24" t="s">
        <v>137</v>
      </c>
      <c r="B83" s="24" t="s">
        <v>94</v>
      </c>
      <c r="C83" s="25" t="s">
        <v>138</v>
      </c>
      <c r="D83" s="25" t="s">
        <v>139</v>
      </c>
      <c r="E83" s="25" t="s">
        <v>140</v>
      </c>
      <c r="F83" s="25"/>
      <c r="G83" s="25"/>
      <c r="H83" s="38"/>
      <c r="I83" s="200" t="s">
        <v>160</v>
      </c>
      <c r="J83" s="199" t="s">
        <v>152</v>
      </c>
      <c r="K83" s="29">
        <f>7</f>
        <v>7</v>
      </c>
      <c r="L83" s="31">
        <f>15</f>
        <v>15</v>
      </c>
      <c r="M83" s="26">
        <f>1</f>
        <v>1</v>
      </c>
      <c r="N83" s="26">
        <f>0</f>
        <v>0</v>
      </c>
      <c r="O83" s="26">
        <f>0</f>
        <v>0</v>
      </c>
      <c r="P83" s="26">
        <f>0</f>
        <v>0</v>
      </c>
      <c r="Q83" s="26">
        <f>0</f>
        <v>0</v>
      </c>
      <c r="R83" s="26"/>
      <c r="S83" s="26"/>
      <c r="T83" s="26"/>
      <c r="U83" s="26"/>
      <c r="V83" s="26">
        <f>25</f>
        <v>25</v>
      </c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32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</row>
    <row r="84" spans="1:105" ht="13" customHeight="1">
      <c r="A84" s="24" t="s">
        <v>137</v>
      </c>
      <c r="B84" s="24" t="s">
        <v>94</v>
      </c>
      <c r="C84" s="25" t="s">
        <v>138</v>
      </c>
      <c r="D84" s="25" t="s">
        <v>139</v>
      </c>
      <c r="E84" s="25" t="s">
        <v>140</v>
      </c>
      <c r="F84" s="25"/>
      <c r="G84" s="25"/>
      <c r="H84" s="38"/>
      <c r="I84" s="200" t="s">
        <v>161</v>
      </c>
      <c r="J84" s="199" t="s">
        <v>152</v>
      </c>
      <c r="K84" s="29">
        <f>46</f>
        <v>46</v>
      </c>
      <c r="L84" s="31">
        <f>43</f>
        <v>43</v>
      </c>
      <c r="M84" s="26">
        <f>65</f>
        <v>65</v>
      </c>
      <c r="N84" s="26">
        <f>15</f>
        <v>15</v>
      </c>
      <c r="O84" s="26">
        <f>0</f>
        <v>0</v>
      </c>
      <c r="P84" s="26">
        <f>0</f>
        <v>0</v>
      </c>
      <c r="Q84" s="26">
        <f>0</f>
        <v>0</v>
      </c>
      <c r="R84" s="26"/>
      <c r="S84" s="26"/>
      <c r="T84" s="26"/>
      <c r="U84" s="26"/>
      <c r="V84" s="26">
        <f>0</f>
        <v>0</v>
      </c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32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</row>
    <row r="85" spans="1:105" ht="13" customHeight="1">
      <c r="A85" s="24" t="s">
        <v>137</v>
      </c>
      <c r="B85" s="24" t="s">
        <v>94</v>
      </c>
      <c r="C85" s="25" t="s">
        <v>138</v>
      </c>
      <c r="D85" s="25" t="s">
        <v>139</v>
      </c>
      <c r="E85" s="25" t="s">
        <v>142</v>
      </c>
      <c r="F85" s="25"/>
      <c r="G85" s="25"/>
      <c r="H85" s="38"/>
      <c r="I85" s="200" t="s">
        <v>109</v>
      </c>
      <c r="J85" s="199" t="s">
        <v>152</v>
      </c>
      <c r="K85" s="29">
        <f>207</f>
        <v>207</v>
      </c>
      <c r="L85" s="31">
        <f>212</f>
        <v>212</v>
      </c>
      <c r="M85" s="26">
        <f>195</f>
        <v>195</v>
      </c>
      <c r="N85" s="26">
        <f>190</f>
        <v>190</v>
      </c>
      <c r="O85" s="26">
        <f>195</f>
        <v>195</v>
      </c>
      <c r="P85" s="26">
        <f>200</f>
        <v>200</v>
      </c>
      <c r="Q85" s="26">
        <f>210</f>
        <v>210</v>
      </c>
      <c r="R85" s="26"/>
      <c r="S85" s="26"/>
      <c r="T85" s="26"/>
      <c r="U85" s="26"/>
      <c r="V85" s="26">
        <f>410</f>
        <v>410</v>
      </c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32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</row>
    <row r="86" spans="1:105" ht="13" customHeight="1">
      <c r="A86" s="24" t="s">
        <v>137</v>
      </c>
      <c r="B86" s="24" t="s">
        <v>94</v>
      </c>
      <c r="C86" s="25" t="s">
        <v>138</v>
      </c>
      <c r="D86" s="25" t="s">
        <v>139</v>
      </c>
      <c r="E86" s="25" t="s">
        <v>142</v>
      </c>
      <c r="F86" s="25"/>
      <c r="G86" s="25"/>
      <c r="H86" s="38"/>
      <c r="I86" s="200" t="s">
        <v>159</v>
      </c>
      <c r="J86" s="199" t="s">
        <v>152</v>
      </c>
      <c r="K86" s="29">
        <f>264</f>
        <v>264</v>
      </c>
      <c r="L86" s="31">
        <f>240</f>
        <v>240</v>
      </c>
      <c r="M86" s="26">
        <f>259</f>
        <v>259</v>
      </c>
      <c r="N86" s="26">
        <f>220</f>
        <v>220</v>
      </c>
      <c r="O86" s="26">
        <f>220</f>
        <v>220</v>
      </c>
      <c r="P86" s="26">
        <f>231.8</f>
        <v>231.8</v>
      </c>
      <c r="Q86" s="26">
        <f>236.9</f>
        <v>236.9</v>
      </c>
      <c r="R86" s="26"/>
      <c r="S86" s="26"/>
      <c r="T86" s="26"/>
      <c r="U86" s="26"/>
      <c r="V86" s="26">
        <f>285.8</f>
        <v>285.8</v>
      </c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32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</row>
    <row r="87" spans="1:105" ht="13" customHeight="1">
      <c r="A87" s="24" t="s">
        <v>137</v>
      </c>
      <c r="B87" s="24" t="s">
        <v>94</v>
      </c>
      <c r="C87" s="25" t="s">
        <v>138</v>
      </c>
      <c r="D87" s="25" t="s">
        <v>139</v>
      </c>
      <c r="E87" s="25" t="s">
        <v>142</v>
      </c>
      <c r="F87" s="25"/>
      <c r="G87" s="25"/>
      <c r="H87" s="38"/>
      <c r="I87" s="200" t="s">
        <v>160</v>
      </c>
      <c r="J87" s="199" t="s">
        <v>152</v>
      </c>
      <c r="K87" s="29">
        <f>7</f>
        <v>7</v>
      </c>
      <c r="L87" s="31">
        <f>15</f>
        <v>15</v>
      </c>
      <c r="M87" s="26">
        <f>1</f>
        <v>1</v>
      </c>
      <c r="N87" s="26">
        <f>0</f>
        <v>0</v>
      </c>
      <c r="O87" s="26">
        <f>0</f>
        <v>0</v>
      </c>
      <c r="P87" s="26">
        <f>0</f>
        <v>0</v>
      </c>
      <c r="Q87" s="26">
        <f>0</f>
        <v>0</v>
      </c>
      <c r="R87" s="26"/>
      <c r="S87" s="26"/>
      <c r="T87" s="26"/>
      <c r="U87" s="26"/>
      <c r="V87" s="26">
        <f>124.4</f>
        <v>124.4</v>
      </c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32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</row>
    <row r="88" spans="1:105" ht="13" customHeight="1">
      <c r="A88" s="24" t="s">
        <v>137</v>
      </c>
      <c r="B88" s="24" t="s">
        <v>94</v>
      </c>
      <c r="C88" s="25" t="s">
        <v>138</v>
      </c>
      <c r="D88" s="25" t="s">
        <v>139</v>
      </c>
      <c r="E88" s="25" t="s">
        <v>142</v>
      </c>
      <c r="F88" s="25"/>
      <c r="G88" s="25"/>
      <c r="H88" s="38"/>
      <c r="I88" s="200" t="s">
        <v>161</v>
      </c>
      <c r="J88" s="199" t="s">
        <v>152</v>
      </c>
      <c r="K88" s="29">
        <f>46</f>
        <v>46</v>
      </c>
      <c r="L88" s="31">
        <f>43</f>
        <v>43</v>
      </c>
      <c r="M88" s="26">
        <f>65</f>
        <v>65</v>
      </c>
      <c r="N88" s="26">
        <f>30</f>
        <v>30</v>
      </c>
      <c r="O88" s="26">
        <f>25</f>
        <v>25</v>
      </c>
      <c r="P88" s="26">
        <f>25</f>
        <v>25</v>
      </c>
      <c r="Q88" s="26">
        <f>20</f>
        <v>20</v>
      </c>
      <c r="R88" s="26"/>
      <c r="S88" s="26"/>
      <c r="T88" s="26"/>
      <c r="U88" s="26"/>
      <c r="V88" s="26">
        <f>0</f>
        <v>0</v>
      </c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32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</row>
    <row r="89" spans="1:105" ht="13" customHeight="1">
      <c r="A89" s="24" t="s">
        <v>137</v>
      </c>
      <c r="B89" s="24" t="s">
        <v>94</v>
      </c>
      <c r="C89" s="25" t="s">
        <v>138</v>
      </c>
      <c r="D89" s="25" t="s">
        <v>139</v>
      </c>
      <c r="E89" s="25" t="s">
        <v>140</v>
      </c>
      <c r="F89" s="25"/>
      <c r="G89" s="25"/>
      <c r="H89" s="38"/>
      <c r="I89" s="200" t="s">
        <v>110</v>
      </c>
      <c r="J89" s="199" t="s">
        <v>152</v>
      </c>
      <c r="K89" s="29">
        <f>209</f>
        <v>209</v>
      </c>
      <c r="L89" s="31">
        <f>215</f>
        <v>215</v>
      </c>
      <c r="M89" s="26">
        <f>235</f>
        <v>235</v>
      </c>
      <c r="N89" s="26">
        <f>160</f>
        <v>160</v>
      </c>
      <c r="O89" s="26">
        <f>165</f>
        <v>165</v>
      </c>
      <c r="P89" s="26">
        <f>170</f>
        <v>170</v>
      </c>
      <c r="Q89" s="26">
        <f>175</f>
        <v>175</v>
      </c>
      <c r="R89" s="26"/>
      <c r="S89" s="26"/>
      <c r="T89" s="26"/>
      <c r="U89" s="26"/>
      <c r="V89" s="26">
        <f>200</f>
        <v>200</v>
      </c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32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</row>
    <row r="90" spans="1:105" ht="13" customHeight="1">
      <c r="A90" s="24" t="s">
        <v>137</v>
      </c>
      <c r="B90" s="24" t="s">
        <v>94</v>
      </c>
      <c r="C90" s="25" t="s">
        <v>138</v>
      </c>
      <c r="D90" s="25" t="s">
        <v>139</v>
      </c>
      <c r="E90" s="25" t="s">
        <v>140</v>
      </c>
      <c r="F90" s="25"/>
      <c r="G90" s="25"/>
      <c r="H90" s="38"/>
      <c r="I90" s="200" t="s">
        <v>162</v>
      </c>
      <c r="J90" s="199" t="s">
        <v>152</v>
      </c>
      <c r="K90" s="29">
        <f>149</f>
        <v>149</v>
      </c>
      <c r="L90" s="31">
        <f>138</f>
        <v>138</v>
      </c>
      <c r="M90" s="26">
        <f>114</f>
        <v>114</v>
      </c>
      <c r="N90" s="26">
        <f>90</f>
        <v>90</v>
      </c>
      <c r="O90" s="26">
        <f>95</f>
        <v>95</v>
      </c>
      <c r="P90" s="26">
        <f>100</f>
        <v>100</v>
      </c>
      <c r="Q90" s="99">
        <f>105</f>
        <v>105</v>
      </c>
      <c r="R90" s="26"/>
      <c r="S90" s="26"/>
      <c r="T90" s="26"/>
      <c r="U90" s="26"/>
      <c r="V90" s="26">
        <f>130</f>
        <v>130</v>
      </c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32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</row>
    <row r="91" spans="1:105" ht="13" customHeight="1">
      <c r="A91" s="24" t="s">
        <v>137</v>
      </c>
      <c r="B91" s="24" t="s">
        <v>94</v>
      </c>
      <c r="C91" s="25" t="s">
        <v>138</v>
      </c>
      <c r="D91" s="25" t="s">
        <v>139</v>
      </c>
      <c r="E91" s="25" t="s">
        <v>140</v>
      </c>
      <c r="F91" s="25"/>
      <c r="G91" s="25"/>
      <c r="H91" s="38"/>
      <c r="I91" s="200" t="s">
        <v>163</v>
      </c>
      <c r="J91" s="199" t="s">
        <v>152</v>
      </c>
      <c r="K91" s="29">
        <f>64</f>
        <v>64</v>
      </c>
      <c r="L91" s="31">
        <f>80</f>
        <v>80</v>
      </c>
      <c r="M91" s="26">
        <f>128</f>
        <v>128</v>
      </c>
      <c r="N91" s="26">
        <f>70</f>
        <v>70</v>
      </c>
      <c r="O91" s="26">
        <f>70</f>
        <v>70</v>
      </c>
      <c r="P91" s="26">
        <f>70</f>
        <v>70</v>
      </c>
      <c r="Q91" s="26">
        <f>70</f>
        <v>70</v>
      </c>
      <c r="R91" s="26"/>
      <c r="S91" s="26"/>
      <c r="T91" s="26"/>
      <c r="U91" s="26"/>
      <c r="V91" s="26">
        <f>70</f>
        <v>70</v>
      </c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32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</row>
    <row r="92" spans="1:105" ht="13" customHeight="1">
      <c r="A92" s="24" t="s">
        <v>137</v>
      </c>
      <c r="B92" s="24" t="s">
        <v>94</v>
      </c>
      <c r="C92" s="25" t="s">
        <v>138</v>
      </c>
      <c r="D92" s="25" t="s">
        <v>139</v>
      </c>
      <c r="E92" s="25" t="s">
        <v>140</v>
      </c>
      <c r="F92" s="25"/>
      <c r="G92" s="25"/>
      <c r="H92" s="38"/>
      <c r="I92" s="200" t="s">
        <v>164</v>
      </c>
      <c r="J92" s="199" t="s">
        <v>152</v>
      </c>
      <c r="K92" s="29">
        <f>4</f>
        <v>4</v>
      </c>
      <c r="L92" s="31">
        <f>3</f>
        <v>3</v>
      </c>
      <c r="M92" s="26">
        <f>0</f>
        <v>0</v>
      </c>
      <c r="N92" s="26">
        <f>0</f>
        <v>0</v>
      </c>
      <c r="O92" s="26">
        <f>0</f>
        <v>0</v>
      </c>
      <c r="P92" s="26">
        <f>0</f>
        <v>0</v>
      </c>
      <c r="Q92" s="26">
        <f>0</f>
        <v>0</v>
      </c>
      <c r="R92" s="26"/>
      <c r="S92" s="26"/>
      <c r="T92" s="26"/>
      <c r="U92" s="26"/>
      <c r="V92" s="26">
        <f>0</f>
        <v>0</v>
      </c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32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</row>
    <row r="93" spans="1:105" ht="13" customHeight="1">
      <c r="A93" s="24" t="s">
        <v>137</v>
      </c>
      <c r="B93" s="24" t="s">
        <v>94</v>
      </c>
      <c r="C93" s="25" t="s">
        <v>138</v>
      </c>
      <c r="D93" s="25" t="s">
        <v>139</v>
      </c>
      <c r="E93" s="25" t="s">
        <v>142</v>
      </c>
      <c r="F93" s="25"/>
      <c r="G93" s="25"/>
      <c r="H93" s="38"/>
      <c r="I93" s="200" t="s">
        <v>110</v>
      </c>
      <c r="J93" s="199" t="s">
        <v>152</v>
      </c>
      <c r="K93" s="29">
        <f>209</f>
        <v>209</v>
      </c>
      <c r="L93" s="31">
        <f>215</f>
        <v>215</v>
      </c>
      <c r="M93" s="26">
        <f>235</f>
        <v>235</v>
      </c>
      <c r="N93" s="26">
        <f>160</f>
        <v>160</v>
      </c>
      <c r="O93" s="26">
        <f>185</f>
        <v>185</v>
      </c>
      <c r="P93" s="26">
        <f>215</f>
        <v>215</v>
      </c>
      <c r="Q93" s="26">
        <f>235</f>
        <v>235</v>
      </c>
      <c r="R93" s="26"/>
      <c r="S93" s="26"/>
      <c r="T93" s="26"/>
      <c r="U93" s="26"/>
      <c r="V93" s="26">
        <f>235</f>
        <v>235</v>
      </c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32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</row>
    <row r="94" spans="1:105" ht="13" customHeight="1">
      <c r="A94" s="24" t="s">
        <v>137</v>
      </c>
      <c r="B94" s="24" t="s">
        <v>94</v>
      </c>
      <c r="C94" s="25" t="s">
        <v>138</v>
      </c>
      <c r="D94" s="25" t="s">
        <v>139</v>
      </c>
      <c r="E94" s="25" t="s">
        <v>142</v>
      </c>
      <c r="F94" s="25"/>
      <c r="G94" s="25"/>
      <c r="H94" s="38"/>
      <c r="I94" s="200" t="s">
        <v>162</v>
      </c>
      <c r="J94" s="199" t="s">
        <v>152</v>
      </c>
      <c r="K94" s="29">
        <f>149</f>
        <v>149</v>
      </c>
      <c r="L94" s="31">
        <f>138</f>
        <v>138</v>
      </c>
      <c r="M94" s="26">
        <f>114</f>
        <v>114</v>
      </c>
      <c r="N94" s="26">
        <f>90</f>
        <v>90</v>
      </c>
      <c r="O94" s="26">
        <f>95</f>
        <v>95</v>
      </c>
      <c r="P94" s="26">
        <f>105</f>
        <v>105</v>
      </c>
      <c r="Q94" s="26">
        <f>115</f>
        <v>115</v>
      </c>
      <c r="R94" s="26"/>
      <c r="S94" s="26"/>
      <c r="T94" s="26"/>
      <c r="U94" s="26"/>
      <c r="V94" s="26">
        <f>135</f>
        <v>135</v>
      </c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32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</row>
    <row r="95" spans="1:105" ht="13" customHeight="1">
      <c r="A95" s="24" t="s">
        <v>137</v>
      </c>
      <c r="B95" s="24" t="s">
        <v>94</v>
      </c>
      <c r="C95" s="25" t="s">
        <v>138</v>
      </c>
      <c r="D95" s="25" t="s">
        <v>139</v>
      </c>
      <c r="E95" s="25" t="s">
        <v>142</v>
      </c>
      <c r="F95" s="25"/>
      <c r="G95" s="25"/>
      <c r="H95" s="38"/>
      <c r="I95" s="200" t="s">
        <v>163</v>
      </c>
      <c r="J95" s="199" t="s">
        <v>152</v>
      </c>
      <c r="K95" s="29">
        <f>64</f>
        <v>64</v>
      </c>
      <c r="L95" s="31">
        <f>80</f>
        <v>80</v>
      </c>
      <c r="M95" s="26">
        <f>128</f>
        <v>128</v>
      </c>
      <c r="N95" s="26">
        <f>70</f>
        <v>70</v>
      </c>
      <c r="O95" s="26">
        <f>90</f>
        <v>90</v>
      </c>
      <c r="P95" s="26">
        <f>110</f>
        <v>110</v>
      </c>
      <c r="Q95" s="26">
        <f>120</f>
        <v>120</v>
      </c>
      <c r="R95" s="26"/>
      <c r="S95" s="26"/>
      <c r="T95" s="26"/>
      <c r="U95" s="26"/>
      <c r="V95" s="26">
        <f>100</f>
        <v>100</v>
      </c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32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</row>
    <row r="96" spans="1:105" ht="13" customHeight="1">
      <c r="A96" s="24" t="s">
        <v>137</v>
      </c>
      <c r="B96" s="24" t="s">
        <v>94</v>
      </c>
      <c r="C96" s="25" t="s">
        <v>138</v>
      </c>
      <c r="D96" s="25" t="s">
        <v>139</v>
      </c>
      <c r="E96" s="25" t="s">
        <v>142</v>
      </c>
      <c r="F96" s="25"/>
      <c r="G96" s="25"/>
      <c r="H96" s="38"/>
      <c r="I96" s="200" t="s">
        <v>164</v>
      </c>
      <c r="J96" s="199" t="s">
        <v>152</v>
      </c>
      <c r="K96" s="29">
        <f>4</f>
        <v>4</v>
      </c>
      <c r="L96" s="31">
        <f>3</f>
        <v>3</v>
      </c>
      <c r="M96" s="26">
        <f>7</f>
        <v>7</v>
      </c>
      <c r="N96" s="26">
        <f>0</f>
        <v>0</v>
      </c>
      <c r="O96" s="26">
        <f>0</f>
        <v>0</v>
      </c>
      <c r="P96" s="26">
        <f>0</f>
        <v>0</v>
      </c>
      <c r="Q96" s="26">
        <f>0</f>
        <v>0</v>
      </c>
      <c r="R96" s="26"/>
      <c r="S96" s="26"/>
      <c r="T96" s="26"/>
      <c r="U96" s="26"/>
      <c r="V96" s="26">
        <f>0</f>
        <v>0</v>
      </c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32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</row>
    <row r="97" spans="1:105" ht="13" customHeight="1">
      <c r="A97" s="24" t="s">
        <v>25</v>
      </c>
      <c r="B97" s="24" t="s">
        <v>165</v>
      </c>
      <c r="C97" s="26"/>
      <c r="D97" s="39" t="s">
        <v>166</v>
      </c>
      <c r="E97" s="24" t="s">
        <v>167</v>
      </c>
      <c r="F97" s="24"/>
      <c r="G97" s="24"/>
      <c r="H97" s="40"/>
      <c r="I97" s="198" t="s">
        <v>168</v>
      </c>
      <c r="J97" s="199" t="s">
        <v>98</v>
      </c>
      <c r="K97" s="203">
        <f>1</f>
        <v>1</v>
      </c>
      <c r="L97" s="46">
        <f>1.061</f>
        <v>1.0609999999999999</v>
      </c>
      <c r="M97" s="43">
        <f>1.138</f>
        <v>1.1379999999999999</v>
      </c>
      <c r="N97" s="43">
        <f>1.194</f>
        <v>1.194</v>
      </c>
      <c r="O97" s="43">
        <f>1.264</f>
        <v>1.264</v>
      </c>
      <c r="P97" s="43">
        <f>1.34</f>
        <v>1.34</v>
      </c>
      <c r="Q97" s="26"/>
      <c r="R97" s="26"/>
      <c r="S97" s="26"/>
      <c r="T97" s="26"/>
      <c r="U97" s="26"/>
      <c r="V97" s="43">
        <f>1.851</f>
        <v>1.851</v>
      </c>
      <c r="W97" s="26"/>
      <c r="X97" s="26"/>
      <c r="Y97" s="26"/>
      <c r="Z97" s="26"/>
      <c r="AA97" s="43">
        <f>2.375</f>
        <v>2.375</v>
      </c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32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</row>
    <row r="98" spans="1:105" ht="13" customHeight="1">
      <c r="A98" s="24" t="s">
        <v>25</v>
      </c>
      <c r="B98" s="24" t="s">
        <v>165</v>
      </c>
      <c r="C98" s="26"/>
      <c r="D98" s="39" t="s">
        <v>166</v>
      </c>
      <c r="E98" s="24" t="s">
        <v>167</v>
      </c>
      <c r="F98" s="24"/>
      <c r="G98" s="24"/>
      <c r="H98" s="40"/>
      <c r="I98" s="198" t="s">
        <v>169</v>
      </c>
      <c r="J98" s="199" t="s">
        <v>98</v>
      </c>
      <c r="K98" s="29"/>
      <c r="L98" s="44">
        <f>0.0129</f>
        <v>1.29E-2</v>
      </c>
      <c r="M98" s="47">
        <f>0.013</f>
        <v>1.2999999999999999E-2</v>
      </c>
      <c r="N98" s="45">
        <f>0.0135</f>
        <v>1.35E-2</v>
      </c>
      <c r="O98" s="45">
        <f>0.0141</f>
        <v>1.41E-2</v>
      </c>
      <c r="P98" s="45">
        <f>0.0146</f>
        <v>1.46E-2</v>
      </c>
      <c r="Q98" s="45">
        <f>0.0153</f>
        <v>1.5299999999999999E-2</v>
      </c>
      <c r="R98" s="45">
        <f>0.0159</f>
        <v>1.5900000000000001E-2</v>
      </c>
      <c r="S98" s="45">
        <f>0.0167</f>
        <v>1.67E-2</v>
      </c>
      <c r="T98" s="45">
        <f>0.0174</f>
        <v>1.7399999999999999E-2</v>
      </c>
      <c r="U98" s="45">
        <f>0.0183</f>
        <v>1.83E-2</v>
      </c>
      <c r="V98" s="45">
        <f>0.0192</f>
        <v>1.9199999999999998E-2</v>
      </c>
      <c r="W98" s="65"/>
      <c r="X98" s="65"/>
      <c r="Y98" s="65"/>
      <c r="Z98" s="65"/>
      <c r="AA98" s="45">
        <f>0.0225</f>
        <v>2.2499999999999999E-2</v>
      </c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32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</row>
    <row r="99" spans="1:105" ht="13" customHeight="1">
      <c r="A99" s="24" t="s">
        <v>25</v>
      </c>
      <c r="B99" s="24" t="s">
        <v>165</v>
      </c>
      <c r="C99" s="26"/>
      <c r="D99" s="39" t="s">
        <v>166</v>
      </c>
      <c r="E99" s="24" t="s">
        <v>167</v>
      </c>
      <c r="F99" s="24"/>
      <c r="G99" s="24"/>
      <c r="H99" s="40"/>
      <c r="I99" s="198" t="s">
        <v>170</v>
      </c>
      <c r="J99" s="199" t="s">
        <v>98</v>
      </c>
      <c r="K99" s="29"/>
      <c r="L99" s="46">
        <f>0.355</f>
        <v>0.35499999999999998</v>
      </c>
      <c r="M99" s="47">
        <f>0.323</f>
        <v>0.32300000000000001</v>
      </c>
      <c r="N99" s="47">
        <f>0.302</f>
        <v>0.30199999999999999</v>
      </c>
      <c r="O99" s="47">
        <f>0.295</f>
        <v>0.29499999999999998</v>
      </c>
      <c r="P99" s="47">
        <f>0.287</f>
        <v>0.28699999999999998</v>
      </c>
      <c r="Q99" s="47">
        <f>0.278</f>
        <v>0.27800000000000002</v>
      </c>
      <c r="R99" s="47">
        <f>0.275</f>
        <v>0.27500000000000002</v>
      </c>
      <c r="S99" s="47">
        <f>0.272</f>
        <v>0.27200000000000002</v>
      </c>
      <c r="T99" s="47">
        <f>0.27</f>
        <v>0.27</v>
      </c>
      <c r="U99" s="47">
        <f>0.268</f>
        <v>0.26800000000000002</v>
      </c>
      <c r="V99" s="47">
        <f>0.264</f>
        <v>0.26400000000000001</v>
      </c>
      <c r="W99" s="65"/>
      <c r="X99" s="65"/>
      <c r="Y99" s="65"/>
      <c r="Z99" s="65"/>
      <c r="AA99" s="47">
        <f>0.208</f>
        <v>0.20799999999999999</v>
      </c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32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</row>
    <row r="100" spans="1:105" ht="13" customHeight="1">
      <c r="A100" s="24" t="s">
        <v>25</v>
      </c>
      <c r="B100" s="24" t="s">
        <v>165</v>
      </c>
      <c r="C100" s="26"/>
      <c r="D100" s="39" t="s">
        <v>166</v>
      </c>
      <c r="E100" s="24" t="s">
        <v>167</v>
      </c>
      <c r="F100" s="24"/>
      <c r="G100" s="24"/>
      <c r="H100" s="40"/>
      <c r="I100" s="198" t="s">
        <v>171</v>
      </c>
      <c r="J100" s="199" t="s">
        <v>98</v>
      </c>
      <c r="K100" s="29"/>
      <c r="L100" s="46">
        <f>1</f>
        <v>1</v>
      </c>
      <c r="M100" s="47">
        <f>1.33</f>
        <v>1.33</v>
      </c>
      <c r="N100" s="47">
        <f>1.429</f>
        <v>1.429</v>
      </c>
      <c r="O100" s="47">
        <f>1.499</f>
        <v>1.4990000000000001</v>
      </c>
      <c r="P100" s="47">
        <f>1.565</f>
        <v>1.5649999999999999</v>
      </c>
      <c r="Q100" s="47">
        <f>1.651</f>
        <v>1.651</v>
      </c>
      <c r="R100" s="47">
        <f>1.719</f>
        <v>1.7190000000000001</v>
      </c>
      <c r="S100" s="47">
        <f>1.776</f>
        <v>1.776</v>
      </c>
      <c r="T100" s="47">
        <f>1.834</f>
        <v>1.8340000000000001</v>
      </c>
      <c r="U100" s="47">
        <f>1.893</f>
        <v>1.893</v>
      </c>
      <c r="V100" s="47">
        <f>1.956</f>
        <v>1.956</v>
      </c>
      <c r="W100" s="65"/>
      <c r="X100" s="65"/>
      <c r="Y100" s="65"/>
      <c r="Z100" s="65"/>
      <c r="AA100" s="47">
        <f>2.93</f>
        <v>2.93</v>
      </c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32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</row>
    <row r="101" spans="1:105" ht="13" customHeight="1">
      <c r="A101" s="24" t="s">
        <v>25</v>
      </c>
      <c r="B101" s="24" t="s">
        <v>165</v>
      </c>
      <c r="C101" s="26"/>
      <c r="D101" s="39" t="s">
        <v>166</v>
      </c>
      <c r="E101" s="24" t="s">
        <v>167</v>
      </c>
      <c r="F101" s="24"/>
      <c r="G101" s="24"/>
      <c r="H101" s="40"/>
      <c r="I101" s="198" t="s">
        <v>172</v>
      </c>
      <c r="J101" s="199" t="s">
        <v>173</v>
      </c>
      <c r="K101" s="29"/>
      <c r="L101" s="31">
        <f>60.89</f>
        <v>60.89</v>
      </c>
      <c r="M101" s="26">
        <f>68.6</f>
        <v>68.599999999999994</v>
      </c>
      <c r="N101" s="26">
        <f>70.9</f>
        <v>70.900000000000006</v>
      </c>
      <c r="O101" s="26">
        <f>72.5</f>
        <v>72.5</v>
      </c>
      <c r="P101" s="26">
        <f>74.1</f>
        <v>74.099999999999994</v>
      </c>
      <c r="Q101" s="26">
        <f>76.1</f>
        <v>76.099999999999994</v>
      </c>
      <c r="R101" s="26">
        <f>78.2</f>
        <v>78.2</v>
      </c>
      <c r="S101" s="34">
        <f>80</f>
        <v>80</v>
      </c>
      <c r="T101" s="26">
        <f>81.7</f>
        <v>81.7</v>
      </c>
      <c r="U101" s="26">
        <f>84.3</f>
        <v>84.3</v>
      </c>
      <c r="V101" s="26">
        <f>86.2</f>
        <v>86.2</v>
      </c>
      <c r="W101" s="26"/>
      <c r="X101" s="26"/>
      <c r="Y101" s="26"/>
      <c r="Z101" s="26"/>
      <c r="AA101" s="26">
        <f>91.7</f>
        <v>91.7</v>
      </c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32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</row>
    <row r="102" spans="1:105" ht="13" customHeight="1">
      <c r="A102" s="24" t="s">
        <v>25</v>
      </c>
      <c r="B102" s="24" t="s">
        <v>165</v>
      </c>
      <c r="C102" s="26"/>
      <c r="D102" s="39" t="s">
        <v>166</v>
      </c>
      <c r="E102" s="24" t="s">
        <v>167</v>
      </c>
      <c r="F102" s="24"/>
      <c r="G102" s="24"/>
      <c r="H102" s="40"/>
      <c r="I102" s="198" t="s">
        <v>174</v>
      </c>
      <c r="J102" s="199" t="s">
        <v>175</v>
      </c>
      <c r="K102" s="29"/>
      <c r="L102" s="55">
        <f>3</f>
        <v>3</v>
      </c>
      <c r="M102" s="26">
        <f>2.9</f>
        <v>2.9</v>
      </c>
      <c r="N102" s="26">
        <f>3.1</f>
        <v>3.1</v>
      </c>
      <c r="O102" s="26">
        <f>3.4</f>
        <v>3.4</v>
      </c>
      <c r="P102" s="26">
        <f>3.6</f>
        <v>3.6</v>
      </c>
      <c r="Q102" s="26">
        <f>3.9</f>
        <v>3.9</v>
      </c>
      <c r="R102" s="34">
        <f>4</f>
        <v>4</v>
      </c>
      <c r="S102" s="26">
        <f>4.1</f>
        <v>4.0999999999999996</v>
      </c>
      <c r="T102" s="26">
        <f>4.4</f>
        <v>4.4000000000000004</v>
      </c>
      <c r="U102" s="26">
        <f>4.5</f>
        <v>4.5</v>
      </c>
      <c r="V102" s="26">
        <f>4.5</f>
        <v>4.5</v>
      </c>
      <c r="W102" s="26"/>
      <c r="X102" s="26"/>
      <c r="Y102" s="26"/>
      <c r="Z102" s="26"/>
      <c r="AA102" s="26">
        <f>4.4</f>
        <v>4.4000000000000004</v>
      </c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32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</row>
    <row r="103" spans="1:105" ht="13" customHeight="1">
      <c r="A103" s="24" t="s">
        <v>25</v>
      </c>
      <c r="B103" s="24" t="s">
        <v>165</v>
      </c>
      <c r="C103" s="26"/>
      <c r="D103" s="39" t="s">
        <v>166</v>
      </c>
      <c r="E103" s="24" t="s">
        <v>167</v>
      </c>
      <c r="F103" s="24"/>
      <c r="G103" s="24"/>
      <c r="H103" s="40"/>
      <c r="I103" s="198" t="s">
        <v>176</v>
      </c>
      <c r="J103" s="199" t="s">
        <v>175</v>
      </c>
      <c r="K103" s="29"/>
      <c r="L103" s="31">
        <f>12.1</f>
        <v>12.1</v>
      </c>
      <c r="M103" s="26">
        <f>13.6</f>
        <v>13.6</v>
      </c>
      <c r="N103" s="26">
        <f>14.8</f>
        <v>14.8</v>
      </c>
      <c r="O103" s="26">
        <f>15.3</f>
        <v>15.3</v>
      </c>
      <c r="P103" s="26">
        <f>15.6</f>
        <v>15.6</v>
      </c>
      <c r="Q103" s="26">
        <f>15.7</f>
        <v>15.7</v>
      </c>
      <c r="R103" s="26">
        <f>15.9</f>
        <v>15.9</v>
      </c>
      <c r="S103" s="26">
        <f>16.2</f>
        <v>16.2</v>
      </c>
      <c r="T103" s="26">
        <f>16.5</f>
        <v>16.5</v>
      </c>
      <c r="U103" s="26">
        <f>16.5</f>
        <v>16.5</v>
      </c>
      <c r="V103" s="26">
        <f>16.7</f>
        <v>16.7</v>
      </c>
      <c r="W103" s="26"/>
      <c r="X103" s="26"/>
      <c r="Y103" s="26"/>
      <c r="Z103" s="26"/>
      <c r="AA103" s="26">
        <f>18.3</f>
        <v>18.3</v>
      </c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32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</row>
    <row r="104" spans="1:105" ht="13" customHeight="1">
      <c r="A104" s="24" t="s">
        <v>25</v>
      </c>
      <c r="B104" s="24" t="s">
        <v>165</v>
      </c>
      <c r="C104" s="26"/>
      <c r="D104" s="39" t="s">
        <v>166</v>
      </c>
      <c r="E104" s="24" t="s">
        <v>167</v>
      </c>
      <c r="F104" s="24"/>
      <c r="G104" s="24"/>
      <c r="H104" s="40"/>
      <c r="I104" s="198" t="s">
        <v>177</v>
      </c>
      <c r="J104" s="199" t="s">
        <v>175</v>
      </c>
      <c r="K104" s="29"/>
      <c r="L104" s="31">
        <f>55.5</f>
        <v>55.5</v>
      </c>
      <c r="M104" s="26">
        <f>56.7</f>
        <v>56.7</v>
      </c>
      <c r="N104" s="26">
        <f>58.2</f>
        <v>58.2</v>
      </c>
      <c r="O104" s="26">
        <f>58.8</f>
        <v>58.8</v>
      </c>
      <c r="P104" s="26">
        <f>60.5</f>
        <v>60.5</v>
      </c>
      <c r="Q104" s="26">
        <f>62.3</f>
        <v>62.3</v>
      </c>
      <c r="R104" s="26">
        <f>64.1</f>
        <v>64.099999999999994</v>
      </c>
      <c r="S104" s="26">
        <f>65.9</f>
        <v>65.900000000000006</v>
      </c>
      <c r="T104" s="26">
        <f>67.7</f>
        <v>67.7</v>
      </c>
      <c r="U104" s="26">
        <f>69.6</f>
        <v>69.599999999999994</v>
      </c>
      <c r="V104" s="26">
        <f>71.4</f>
        <v>71.400000000000006</v>
      </c>
      <c r="W104" s="26"/>
      <c r="X104" s="26"/>
      <c r="Y104" s="26"/>
      <c r="Z104" s="26"/>
      <c r="AA104" s="26">
        <f>73.2</f>
        <v>73.2</v>
      </c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32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</row>
    <row r="105" spans="1:105" ht="13" customHeight="1">
      <c r="A105" s="24" t="s">
        <v>25</v>
      </c>
      <c r="B105" s="24" t="s">
        <v>165</v>
      </c>
      <c r="C105" s="26"/>
      <c r="D105" s="39" t="s">
        <v>166</v>
      </c>
      <c r="E105" s="24" t="s">
        <v>167</v>
      </c>
      <c r="F105" s="24"/>
      <c r="G105" s="24"/>
      <c r="H105" s="40"/>
      <c r="I105" s="198" t="s">
        <v>178</v>
      </c>
      <c r="J105" s="199" t="s">
        <v>179</v>
      </c>
      <c r="K105" s="29"/>
      <c r="L105" s="31">
        <f>248.3</f>
        <v>248.3</v>
      </c>
      <c r="M105" s="26">
        <f>271.6</f>
        <v>271.60000000000002</v>
      </c>
      <c r="N105" s="26">
        <f>284.4</f>
        <v>284.39999999999998</v>
      </c>
      <c r="O105" s="26">
        <f>283.6</f>
        <v>283.60000000000002</v>
      </c>
      <c r="P105" s="26">
        <v>305.89999999999998</v>
      </c>
      <c r="Q105" s="26">
        <f>313.8</f>
        <v>313.8</v>
      </c>
      <c r="R105" s="26">
        <f>319.9</f>
        <v>319.89999999999998</v>
      </c>
      <c r="S105" s="26">
        <f>322.1</f>
        <v>322.10000000000002</v>
      </c>
      <c r="T105" s="26">
        <f>329.2</f>
        <v>329.2</v>
      </c>
      <c r="U105" s="26">
        <f>338.5</f>
        <v>338.5</v>
      </c>
      <c r="V105" s="26">
        <f>352.8</f>
        <v>352.8</v>
      </c>
      <c r="W105" s="26"/>
      <c r="X105" s="26"/>
      <c r="Y105" s="26"/>
      <c r="Z105" s="26"/>
      <c r="AA105" s="26">
        <f>368.2</f>
        <v>368.2</v>
      </c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32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</row>
    <row r="106" spans="1:105" ht="13" customHeight="1">
      <c r="A106" s="24" t="s">
        <v>25</v>
      </c>
      <c r="B106" s="24" t="s">
        <v>165</v>
      </c>
      <c r="C106" s="26"/>
      <c r="D106" s="39" t="s">
        <v>166</v>
      </c>
      <c r="E106" s="24" t="s">
        <v>167</v>
      </c>
      <c r="F106" s="24"/>
      <c r="G106" s="24"/>
      <c r="H106" s="40"/>
      <c r="I106" s="198" t="s">
        <v>180</v>
      </c>
      <c r="J106" s="199" t="s">
        <v>179</v>
      </c>
      <c r="K106" s="29"/>
      <c r="L106" s="31">
        <f>49.2</f>
        <v>49.2</v>
      </c>
      <c r="M106" s="26">
        <f>84.6</f>
        <v>84.6</v>
      </c>
      <c r="N106" s="26">
        <f>74.5</f>
        <v>74.5</v>
      </c>
      <c r="O106" s="26">
        <f>74.7</f>
        <v>74.7</v>
      </c>
      <c r="P106" s="26">
        <f>77.3</f>
        <v>77.3</v>
      </c>
      <c r="Q106" s="34">
        <f>80</f>
        <v>80</v>
      </c>
      <c r="R106" s="26">
        <f>80.9</f>
        <v>80.900000000000006</v>
      </c>
      <c r="S106" s="34">
        <f>83</f>
        <v>83</v>
      </c>
      <c r="T106" s="26">
        <f>85.4</f>
        <v>85.4</v>
      </c>
      <c r="U106" s="26">
        <f>88.2</f>
        <v>88.2</v>
      </c>
      <c r="V106" s="26">
        <f>88.5</f>
        <v>88.5</v>
      </c>
      <c r="W106" s="26"/>
      <c r="X106" s="26"/>
      <c r="Y106" s="26"/>
      <c r="Z106" s="26"/>
      <c r="AA106" s="26">
        <f>87.6</f>
        <v>87.6</v>
      </c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32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</row>
    <row r="107" spans="1:105" ht="13" customHeight="1">
      <c r="A107" s="24" t="s">
        <v>25</v>
      </c>
      <c r="B107" s="24" t="s">
        <v>165</v>
      </c>
      <c r="C107" s="26"/>
      <c r="D107" s="39" t="s">
        <v>166</v>
      </c>
      <c r="E107" s="25" t="s">
        <v>140</v>
      </c>
      <c r="F107" s="25"/>
      <c r="G107" s="25"/>
      <c r="H107" s="38"/>
      <c r="I107" s="198" t="s">
        <v>181</v>
      </c>
      <c r="J107" s="199" t="s">
        <v>100</v>
      </c>
      <c r="K107" s="29">
        <f>19078</f>
        <v>19078</v>
      </c>
      <c r="L107" s="31">
        <f>20272</f>
        <v>20272</v>
      </c>
      <c r="M107" s="26">
        <f>20580</f>
        <v>20580</v>
      </c>
      <c r="N107" s="26">
        <f>20708</f>
        <v>20708</v>
      </c>
      <c r="O107" s="26">
        <f>20958</f>
        <v>20958</v>
      </c>
      <c r="P107" s="26">
        <f>22758</f>
        <v>22758</v>
      </c>
      <c r="Q107" s="26">
        <f>23283</f>
        <v>23283</v>
      </c>
      <c r="R107" s="26">
        <f>23413</f>
        <v>23413</v>
      </c>
      <c r="S107" s="26">
        <f>24326</f>
        <v>24326</v>
      </c>
      <c r="T107" s="26">
        <f>25826</f>
        <v>25826</v>
      </c>
      <c r="U107" s="26">
        <f>26451</f>
        <v>26451</v>
      </c>
      <c r="V107" s="26">
        <f>26451</f>
        <v>26451</v>
      </c>
      <c r="W107" s="26"/>
      <c r="X107" s="26"/>
      <c r="Y107" s="26"/>
      <c r="Z107" s="26"/>
      <c r="AA107" s="26">
        <f>26451</f>
        <v>26451</v>
      </c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32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</row>
    <row r="108" spans="1:105" ht="13" customHeight="1">
      <c r="A108" s="24" t="s">
        <v>25</v>
      </c>
      <c r="B108" s="24" t="s">
        <v>165</v>
      </c>
      <c r="C108" s="26"/>
      <c r="D108" s="39" t="s">
        <v>166</v>
      </c>
      <c r="E108" s="25" t="s">
        <v>140</v>
      </c>
      <c r="F108" s="25"/>
      <c r="G108" s="25"/>
      <c r="H108" s="38"/>
      <c r="I108" s="200" t="s">
        <v>113</v>
      </c>
      <c r="J108" s="199" t="s">
        <v>100</v>
      </c>
      <c r="K108" s="29">
        <f>19224</f>
        <v>19224</v>
      </c>
      <c r="L108" s="31">
        <f>19629</f>
        <v>19629</v>
      </c>
      <c r="M108" s="26">
        <f>19950</f>
        <v>19950</v>
      </c>
      <c r="N108" s="26">
        <f>19990</f>
        <v>19990</v>
      </c>
      <c r="O108" s="26">
        <f>20000</f>
        <v>20000</v>
      </c>
      <c r="P108" s="26">
        <f>20280</f>
        <v>20280</v>
      </c>
      <c r="Q108" s="26">
        <f>20580</f>
        <v>20580</v>
      </c>
      <c r="R108" s="26">
        <f>20900</f>
        <v>20900</v>
      </c>
      <c r="S108" s="26">
        <f>21250</f>
        <v>21250</v>
      </c>
      <c r="T108" s="26">
        <f>21640</f>
        <v>21640</v>
      </c>
      <c r="U108" s="26">
        <f>22065</f>
        <v>22065</v>
      </c>
      <c r="V108" s="26">
        <f>22520</f>
        <v>22520</v>
      </c>
      <c r="W108" s="26"/>
      <c r="X108" s="26"/>
      <c r="Y108" s="26"/>
      <c r="Z108" s="26"/>
      <c r="AA108" s="26">
        <f>24500</f>
        <v>24500</v>
      </c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32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</row>
    <row r="109" spans="1:105" ht="13" customHeight="1">
      <c r="A109" s="24" t="s">
        <v>25</v>
      </c>
      <c r="B109" s="24" t="s">
        <v>165</v>
      </c>
      <c r="C109" s="26"/>
      <c r="D109" s="39" t="s">
        <v>166</v>
      </c>
      <c r="E109" s="25" t="s">
        <v>140</v>
      </c>
      <c r="F109" s="25"/>
      <c r="G109" s="25"/>
      <c r="H109" s="38"/>
      <c r="I109" s="200" t="s">
        <v>182</v>
      </c>
      <c r="J109" s="199" t="s">
        <v>100</v>
      </c>
      <c r="K109" s="29">
        <f>14576</f>
        <v>14576</v>
      </c>
      <c r="L109" s="31">
        <f>15460</f>
        <v>15460</v>
      </c>
      <c r="M109" s="26">
        <f>15670</f>
        <v>15670</v>
      </c>
      <c r="N109" s="26">
        <f>15670</f>
        <v>15670</v>
      </c>
      <c r="O109" s="26">
        <f>15670</f>
        <v>15670</v>
      </c>
      <c r="P109" s="26">
        <f>15765</f>
        <v>15765</v>
      </c>
      <c r="Q109" s="26">
        <f>15840</f>
        <v>15840</v>
      </c>
      <c r="R109" s="26">
        <f>15890</f>
        <v>15890</v>
      </c>
      <c r="S109" s="26">
        <f>15960</f>
        <v>15960</v>
      </c>
      <c r="T109" s="26">
        <f>16100</f>
        <v>16100</v>
      </c>
      <c r="U109" s="26">
        <f>16365</f>
        <v>16365</v>
      </c>
      <c r="V109" s="26">
        <f>16720</f>
        <v>16720</v>
      </c>
      <c r="W109" s="26"/>
      <c r="X109" s="26"/>
      <c r="Y109" s="26"/>
      <c r="Z109" s="26"/>
      <c r="AA109" s="26">
        <f>17650</f>
        <v>17650</v>
      </c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32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</row>
    <row r="110" spans="1:105" ht="13" customHeight="1">
      <c r="A110" s="24" t="s">
        <v>25</v>
      </c>
      <c r="B110" s="24" t="s">
        <v>165</v>
      </c>
      <c r="C110" s="26"/>
      <c r="D110" s="39" t="s">
        <v>166</v>
      </c>
      <c r="E110" s="25" t="s">
        <v>140</v>
      </c>
      <c r="F110" s="25"/>
      <c r="G110" s="25"/>
      <c r="H110" s="38"/>
      <c r="I110" s="200" t="s">
        <v>183</v>
      </c>
      <c r="J110" s="199" t="s">
        <v>100</v>
      </c>
      <c r="K110" s="29">
        <f>4648</f>
        <v>4648</v>
      </c>
      <c r="L110" s="31">
        <f>4169</f>
        <v>4169</v>
      </c>
      <c r="M110" s="26">
        <f>4280</f>
        <v>4280</v>
      </c>
      <c r="N110" s="26">
        <f>4320</f>
        <v>4320</v>
      </c>
      <c r="O110" s="26">
        <f>4330</f>
        <v>4330</v>
      </c>
      <c r="P110" s="26">
        <f>4515</f>
        <v>4515</v>
      </c>
      <c r="Q110" s="26">
        <f>4740</f>
        <v>4740</v>
      </c>
      <c r="R110" s="26">
        <f>5010</f>
        <v>5010</v>
      </c>
      <c r="S110" s="26">
        <f>5290</f>
        <v>5290</v>
      </c>
      <c r="T110" s="26">
        <f>5540</f>
        <v>5540</v>
      </c>
      <c r="U110" s="26">
        <f>5700</f>
        <v>5700</v>
      </c>
      <c r="V110" s="26">
        <f>5800</f>
        <v>5800</v>
      </c>
      <c r="W110" s="26"/>
      <c r="X110" s="26"/>
      <c r="Y110" s="26"/>
      <c r="Z110" s="26"/>
      <c r="AA110" s="26">
        <f>6850</f>
        <v>6850</v>
      </c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32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</row>
    <row r="111" spans="1:105" ht="13" customHeight="1">
      <c r="A111" s="24" t="s">
        <v>25</v>
      </c>
      <c r="B111" s="24" t="s">
        <v>165</v>
      </c>
      <c r="C111" s="26"/>
      <c r="D111" s="39" t="s">
        <v>166</v>
      </c>
      <c r="E111" s="25" t="s">
        <v>140</v>
      </c>
      <c r="F111" s="25"/>
      <c r="G111" s="25"/>
      <c r="H111" s="38"/>
      <c r="I111" s="200" t="s">
        <v>184</v>
      </c>
      <c r="J111" s="199" t="s">
        <v>100</v>
      </c>
      <c r="K111" s="29">
        <f t="shared" ref="K111:V111" si="0">0</f>
        <v>0</v>
      </c>
      <c r="L111" s="31">
        <f t="shared" si="0"/>
        <v>0</v>
      </c>
      <c r="M111" s="26">
        <f t="shared" si="0"/>
        <v>0</v>
      </c>
      <c r="N111" s="26">
        <f t="shared" si="0"/>
        <v>0</v>
      </c>
      <c r="O111" s="26">
        <f t="shared" si="0"/>
        <v>0</v>
      </c>
      <c r="P111" s="26">
        <f t="shared" si="0"/>
        <v>0</v>
      </c>
      <c r="Q111" s="26">
        <f t="shared" si="0"/>
        <v>0</v>
      </c>
      <c r="R111" s="26">
        <f t="shared" si="0"/>
        <v>0</v>
      </c>
      <c r="S111" s="26">
        <f t="shared" si="0"/>
        <v>0</v>
      </c>
      <c r="T111" s="26">
        <f t="shared" si="0"/>
        <v>0</v>
      </c>
      <c r="U111" s="26">
        <f t="shared" si="0"/>
        <v>0</v>
      </c>
      <c r="V111" s="26">
        <f t="shared" si="0"/>
        <v>0</v>
      </c>
      <c r="W111" s="26"/>
      <c r="X111" s="26"/>
      <c r="Y111" s="26"/>
      <c r="Z111" s="26"/>
      <c r="AA111" s="26">
        <f>0</f>
        <v>0</v>
      </c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32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</row>
    <row r="112" spans="1:105" ht="13" customHeight="1">
      <c r="A112" s="24" t="s">
        <v>25</v>
      </c>
      <c r="B112" s="24" t="s">
        <v>165</v>
      </c>
      <c r="C112" s="26"/>
      <c r="D112" s="39" t="s">
        <v>166</v>
      </c>
      <c r="E112" s="25" t="s">
        <v>142</v>
      </c>
      <c r="F112" s="25"/>
      <c r="G112" s="25"/>
      <c r="H112" s="38"/>
      <c r="I112" s="200" t="s">
        <v>181</v>
      </c>
      <c r="J112" s="199" t="s">
        <v>100</v>
      </c>
      <c r="K112" s="29">
        <f>19078</f>
        <v>19078</v>
      </c>
      <c r="L112" s="31">
        <f>20272</f>
        <v>20272</v>
      </c>
      <c r="M112" s="26">
        <f>20708</f>
        <v>20708</v>
      </c>
      <c r="N112" s="26">
        <f>20958</f>
        <v>20958</v>
      </c>
      <c r="O112" s="26">
        <f>22758</f>
        <v>22758</v>
      </c>
      <c r="P112" s="26">
        <f>23283</f>
        <v>23283</v>
      </c>
      <c r="Q112" s="26">
        <f>23413</f>
        <v>23413</v>
      </c>
      <c r="R112" s="26">
        <f>25701</f>
        <v>25701</v>
      </c>
      <c r="S112" s="26">
        <f>27201</f>
        <v>27201</v>
      </c>
      <c r="T112" s="26">
        <f>27201</f>
        <v>27201</v>
      </c>
      <c r="U112" s="26">
        <f>27201</f>
        <v>27201</v>
      </c>
      <c r="V112" s="26">
        <f>27201</f>
        <v>27201</v>
      </c>
      <c r="W112" s="26"/>
      <c r="X112" s="26"/>
      <c r="Y112" s="26"/>
      <c r="Z112" s="26"/>
      <c r="AA112" s="26">
        <f>27201</f>
        <v>27201</v>
      </c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32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</row>
    <row r="113" spans="1:105" ht="13" customHeight="1">
      <c r="A113" s="24" t="s">
        <v>25</v>
      </c>
      <c r="B113" s="24" t="s">
        <v>165</v>
      </c>
      <c r="C113" s="26"/>
      <c r="D113" s="39" t="s">
        <v>166</v>
      </c>
      <c r="E113" s="25" t="s">
        <v>142</v>
      </c>
      <c r="F113" s="25"/>
      <c r="G113" s="25"/>
      <c r="H113" s="38"/>
      <c r="I113" s="200" t="s">
        <v>113</v>
      </c>
      <c r="J113" s="199" t="s">
        <v>100</v>
      </c>
      <c r="K113" s="29">
        <f>19224</f>
        <v>19224</v>
      </c>
      <c r="L113" s="31">
        <f>19629</f>
        <v>19629</v>
      </c>
      <c r="M113" s="26">
        <f>19950</f>
        <v>19950</v>
      </c>
      <c r="N113" s="26">
        <f>20280</f>
        <v>20280</v>
      </c>
      <c r="O113" s="26">
        <f>20650</f>
        <v>20650</v>
      </c>
      <c r="P113" s="26">
        <f>21070</f>
        <v>21070</v>
      </c>
      <c r="Q113" s="26">
        <f>21530</f>
        <v>21530</v>
      </c>
      <c r="R113" s="26">
        <f>22130</f>
        <v>22130</v>
      </c>
      <c r="S113" s="26">
        <f>22750</f>
        <v>22750</v>
      </c>
      <c r="T113" s="26">
        <f>23360</f>
        <v>23360</v>
      </c>
      <c r="U113" s="26">
        <f>24000</f>
        <v>24000</v>
      </c>
      <c r="V113" s="26">
        <f>25500</f>
        <v>25500</v>
      </c>
      <c r="W113" s="26"/>
      <c r="X113" s="26"/>
      <c r="Y113" s="26"/>
      <c r="Z113" s="26"/>
      <c r="AA113" s="26">
        <f>27200</f>
        <v>27200</v>
      </c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32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</row>
    <row r="114" spans="1:105" ht="13" customHeight="1">
      <c r="A114" s="24" t="s">
        <v>25</v>
      </c>
      <c r="B114" s="24" t="s">
        <v>165</v>
      </c>
      <c r="C114" s="26"/>
      <c r="D114" s="39" t="s">
        <v>166</v>
      </c>
      <c r="E114" s="25" t="s">
        <v>142</v>
      </c>
      <c r="F114" s="25"/>
      <c r="G114" s="25"/>
      <c r="H114" s="38"/>
      <c r="I114" s="200" t="s">
        <v>182</v>
      </c>
      <c r="J114" s="199" t="s">
        <v>100</v>
      </c>
      <c r="K114" s="29">
        <f>14576</f>
        <v>14576</v>
      </c>
      <c r="L114" s="31">
        <f>15460</f>
        <v>15460</v>
      </c>
      <c r="M114" s="26">
        <f>15670</f>
        <v>15670</v>
      </c>
      <c r="N114" s="26">
        <f>15900</f>
        <v>15900</v>
      </c>
      <c r="O114" s="26">
        <f>16170</f>
        <v>16170</v>
      </c>
      <c r="P114" s="26">
        <f>16470</f>
        <v>16470</v>
      </c>
      <c r="Q114" s="26">
        <f>16780</f>
        <v>16780</v>
      </c>
      <c r="R114" s="26">
        <f>17100</f>
        <v>17100</v>
      </c>
      <c r="S114" s="26">
        <f>17450</f>
        <v>17450</v>
      </c>
      <c r="T114" s="26">
        <f>17810</f>
        <v>17810</v>
      </c>
      <c r="U114" s="26">
        <f>18200</f>
        <v>18200</v>
      </c>
      <c r="V114" s="26">
        <f>18900</f>
        <v>18900</v>
      </c>
      <c r="W114" s="26"/>
      <c r="X114" s="26"/>
      <c r="Y114" s="26"/>
      <c r="Z114" s="26"/>
      <c r="AA114" s="26">
        <f>19700</f>
        <v>19700</v>
      </c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32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</row>
    <row r="115" spans="1:105" ht="13" customHeight="1">
      <c r="A115" s="24" t="s">
        <v>25</v>
      </c>
      <c r="B115" s="24" t="s">
        <v>165</v>
      </c>
      <c r="C115" s="26"/>
      <c r="D115" s="39" t="s">
        <v>166</v>
      </c>
      <c r="E115" s="25" t="s">
        <v>142</v>
      </c>
      <c r="F115" s="25"/>
      <c r="G115" s="25"/>
      <c r="H115" s="38"/>
      <c r="I115" s="200" t="s">
        <v>183</v>
      </c>
      <c r="J115" s="199" t="s">
        <v>100</v>
      </c>
      <c r="K115" s="29">
        <f>4648</f>
        <v>4648</v>
      </c>
      <c r="L115" s="31">
        <f>4169</f>
        <v>4169</v>
      </c>
      <c r="M115" s="26">
        <f>4280</f>
        <v>4280</v>
      </c>
      <c r="N115" s="26">
        <f>4380</f>
        <v>4380</v>
      </c>
      <c r="O115" s="26">
        <f>4480</f>
        <v>4480</v>
      </c>
      <c r="P115" s="26">
        <f>4600</f>
        <v>4600</v>
      </c>
      <c r="Q115" s="26">
        <f>4750</f>
        <v>4750</v>
      </c>
      <c r="R115" s="26">
        <f>5030</f>
        <v>5030</v>
      </c>
      <c r="S115" s="26">
        <f>5300</f>
        <v>5300</v>
      </c>
      <c r="T115" s="26">
        <f>5550</f>
        <v>5550</v>
      </c>
      <c r="U115" s="26">
        <f>5800</f>
        <v>5800</v>
      </c>
      <c r="V115" s="26">
        <f>6600</f>
        <v>6600</v>
      </c>
      <c r="W115" s="26"/>
      <c r="X115" s="26"/>
      <c r="Y115" s="26"/>
      <c r="Z115" s="26"/>
      <c r="AA115" s="26">
        <f>7500</f>
        <v>7500</v>
      </c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32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</row>
    <row r="116" spans="1:105" ht="13" customHeight="1">
      <c r="A116" s="24" t="s">
        <v>25</v>
      </c>
      <c r="B116" s="24" t="s">
        <v>165</v>
      </c>
      <c r="C116" s="26"/>
      <c r="D116" s="39" t="s">
        <v>166</v>
      </c>
      <c r="E116" s="25" t="s">
        <v>142</v>
      </c>
      <c r="F116" s="25"/>
      <c r="G116" s="25"/>
      <c r="H116" s="38"/>
      <c r="I116" s="200" t="s">
        <v>184</v>
      </c>
      <c r="J116" s="199" t="s">
        <v>100</v>
      </c>
      <c r="K116" s="29">
        <f t="shared" ref="K116:V116" si="1">0</f>
        <v>0</v>
      </c>
      <c r="L116" s="31">
        <f t="shared" si="1"/>
        <v>0</v>
      </c>
      <c r="M116" s="26">
        <f t="shared" si="1"/>
        <v>0</v>
      </c>
      <c r="N116" s="26">
        <f t="shared" si="1"/>
        <v>0</v>
      </c>
      <c r="O116" s="26">
        <f t="shared" si="1"/>
        <v>0</v>
      </c>
      <c r="P116" s="26">
        <f t="shared" si="1"/>
        <v>0</v>
      </c>
      <c r="Q116" s="26">
        <f t="shared" si="1"/>
        <v>0</v>
      </c>
      <c r="R116" s="26">
        <f t="shared" si="1"/>
        <v>0</v>
      </c>
      <c r="S116" s="26">
        <f t="shared" si="1"/>
        <v>0</v>
      </c>
      <c r="T116" s="26">
        <f t="shared" si="1"/>
        <v>0</v>
      </c>
      <c r="U116" s="26">
        <f t="shared" si="1"/>
        <v>0</v>
      </c>
      <c r="V116" s="26">
        <f t="shared" si="1"/>
        <v>0</v>
      </c>
      <c r="W116" s="26"/>
      <c r="X116" s="26"/>
      <c r="Y116" s="26"/>
      <c r="Z116" s="26"/>
      <c r="AA116" s="26">
        <f>0</f>
        <v>0</v>
      </c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32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</row>
    <row r="117" spans="1:105" ht="13" customHeight="1">
      <c r="A117" s="24" t="s">
        <v>25</v>
      </c>
      <c r="B117" s="24" t="s">
        <v>165</v>
      </c>
      <c r="C117" s="26"/>
      <c r="D117" s="39" t="s">
        <v>166</v>
      </c>
      <c r="E117" s="25" t="s">
        <v>140</v>
      </c>
      <c r="F117" s="25"/>
      <c r="G117" s="25"/>
      <c r="H117" s="38"/>
      <c r="I117" s="198" t="s">
        <v>185</v>
      </c>
      <c r="J117" s="199" t="s">
        <v>100</v>
      </c>
      <c r="K117" s="29">
        <f>4748</f>
        <v>4748</v>
      </c>
      <c r="L117" s="31">
        <f>4783</f>
        <v>4783</v>
      </c>
      <c r="M117" s="26">
        <f>4783</f>
        <v>4783</v>
      </c>
      <c r="N117" s="26">
        <f>5303</f>
        <v>5303</v>
      </c>
      <c r="O117" s="26">
        <f>6303</f>
        <v>6303</v>
      </c>
      <c r="P117" s="26">
        <f>9503</f>
        <v>9503</v>
      </c>
      <c r="Q117" s="26">
        <f t="shared" ref="Q117:V117" si="2">14703</f>
        <v>14703</v>
      </c>
      <c r="R117" s="26">
        <f t="shared" si="2"/>
        <v>14703</v>
      </c>
      <c r="S117" s="26">
        <f t="shared" si="2"/>
        <v>14703</v>
      </c>
      <c r="T117" s="26">
        <f t="shared" si="2"/>
        <v>14703</v>
      </c>
      <c r="U117" s="26">
        <f t="shared" si="2"/>
        <v>14703</v>
      </c>
      <c r="V117" s="26">
        <f t="shared" si="2"/>
        <v>14703</v>
      </c>
      <c r="W117" s="26"/>
      <c r="X117" s="26"/>
      <c r="Y117" s="26"/>
      <c r="Z117" s="26"/>
      <c r="AA117" s="26">
        <f>14703</f>
        <v>14703</v>
      </c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32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</row>
    <row r="118" spans="1:105" ht="13" customHeight="1">
      <c r="A118" s="24" t="s">
        <v>25</v>
      </c>
      <c r="B118" s="24" t="s">
        <v>165</v>
      </c>
      <c r="C118" s="26"/>
      <c r="D118" s="39" t="s">
        <v>166</v>
      </c>
      <c r="E118" s="25" t="s">
        <v>140</v>
      </c>
      <c r="F118" s="25"/>
      <c r="G118" s="25"/>
      <c r="H118" s="38"/>
      <c r="I118" s="200" t="s">
        <v>118</v>
      </c>
      <c r="J118" s="199" t="s">
        <v>100</v>
      </c>
      <c r="K118" s="29">
        <f>4529</f>
        <v>4529</v>
      </c>
      <c r="L118" s="31">
        <f>4417</f>
        <v>4417</v>
      </c>
      <c r="M118" s="26">
        <f>4520</f>
        <v>4520</v>
      </c>
      <c r="N118" s="26">
        <f>4520</f>
        <v>4520</v>
      </c>
      <c r="O118" s="26">
        <f>4740</f>
        <v>4740</v>
      </c>
      <c r="P118" s="26">
        <f>6770</f>
        <v>6770</v>
      </c>
      <c r="Q118" s="26">
        <f>10750</f>
        <v>10750</v>
      </c>
      <c r="R118" s="26">
        <f>11000</f>
        <v>11000</v>
      </c>
      <c r="S118" s="26">
        <f>11200</f>
        <v>11200</v>
      </c>
      <c r="T118" s="26">
        <f>11390</f>
        <v>11390</v>
      </c>
      <c r="U118" s="26">
        <f>11570</f>
        <v>11570</v>
      </c>
      <c r="V118" s="26">
        <f>11570</f>
        <v>11570</v>
      </c>
      <c r="W118" s="26"/>
      <c r="X118" s="26"/>
      <c r="Y118" s="26"/>
      <c r="Z118" s="26"/>
      <c r="AA118" s="26">
        <f>11570</f>
        <v>11570</v>
      </c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32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</row>
    <row r="119" spans="1:105" ht="13" customHeight="1">
      <c r="A119" s="24" t="s">
        <v>25</v>
      </c>
      <c r="B119" s="24" t="s">
        <v>165</v>
      </c>
      <c r="C119" s="26"/>
      <c r="D119" s="39" t="s">
        <v>166</v>
      </c>
      <c r="E119" s="25" t="s">
        <v>140</v>
      </c>
      <c r="F119" s="25"/>
      <c r="G119" s="25"/>
      <c r="H119" s="38"/>
      <c r="I119" s="200" t="s">
        <v>186</v>
      </c>
      <c r="J119" s="199" t="s">
        <v>100</v>
      </c>
      <c r="K119" s="29">
        <f>2425</f>
        <v>2425</v>
      </c>
      <c r="L119" s="31">
        <f>2322</f>
        <v>2322</v>
      </c>
      <c r="M119" s="26">
        <f>2370</f>
        <v>2370</v>
      </c>
      <c r="N119" s="26">
        <f>2410</f>
        <v>2410</v>
      </c>
      <c r="O119" s="26">
        <f>2450</f>
        <v>2450</v>
      </c>
      <c r="P119" s="26">
        <f>2500</f>
        <v>2500</v>
      </c>
      <c r="Q119" s="26">
        <f>2550</f>
        <v>2550</v>
      </c>
      <c r="R119" s="26">
        <f>2620</f>
        <v>2620</v>
      </c>
      <c r="S119" s="26">
        <f>2700</f>
        <v>2700</v>
      </c>
      <c r="T119" s="26">
        <f>2790</f>
        <v>2790</v>
      </c>
      <c r="U119" s="26">
        <f>2885</f>
        <v>2885</v>
      </c>
      <c r="V119" s="26">
        <f>2985</f>
        <v>2985</v>
      </c>
      <c r="W119" s="26"/>
      <c r="X119" s="26"/>
      <c r="Y119" s="26"/>
      <c r="Z119" s="26"/>
      <c r="AA119" s="26">
        <f>3100</f>
        <v>3100</v>
      </c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32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</row>
    <row r="120" spans="1:105" ht="13" customHeight="1">
      <c r="A120" s="24" t="s">
        <v>25</v>
      </c>
      <c r="B120" s="24" t="s">
        <v>165</v>
      </c>
      <c r="C120" s="26"/>
      <c r="D120" s="39" t="s">
        <v>166</v>
      </c>
      <c r="E120" s="25" t="s">
        <v>140</v>
      </c>
      <c r="F120" s="25"/>
      <c r="G120" s="25"/>
      <c r="H120" s="38"/>
      <c r="I120" s="200" t="s">
        <v>187</v>
      </c>
      <c r="J120" s="199" t="s">
        <v>100</v>
      </c>
      <c r="K120" s="29">
        <f>2111</f>
        <v>2111</v>
      </c>
      <c r="L120" s="31">
        <f>2095</f>
        <v>2095</v>
      </c>
      <c r="M120" s="26">
        <f>2150</f>
        <v>2150</v>
      </c>
      <c r="N120" s="26">
        <f>2180</f>
        <v>2180</v>
      </c>
      <c r="O120" s="26">
        <f>2290</f>
        <v>2290</v>
      </c>
      <c r="P120" s="26">
        <f>4270</f>
        <v>4270</v>
      </c>
      <c r="Q120" s="26">
        <f>8200</f>
        <v>8200</v>
      </c>
      <c r="R120" s="26">
        <f>8380</f>
        <v>8380</v>
      </c>
      <c r="S120" s="26">
        <f>8500</f>
        <v>8500</v>
      </c>
      <c r="T120" s="26">
        <f>8600</f>
        <v>8600</v>
      </c>
      <c r="U120" s="26">
        <f>8685</f>
        <v>8685</v>
      </c>
      <c r="V120" s="26">
        <f>8765</f>
        <v>8765</v>
      </c>
      <c r="W120" s="26"/>
      <c r="X120" s="26"/>
      <c r="Y120" s="26"/>
      <c r="Z120" s="26"/>
      <c r="AA120" s="26">
        <f>8955</f>
        <v>8955</v>
      </c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32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</row>
    <row r="121" spans="1:105" ht="13" customHeight="1">
      <c r="A121" s="24" t="s">
        <v>25</v>
      </c>
      <c r="B121" s="24" t="s">
        <v>165</v>
      </c>
      <c r="C121" s="26"/>
      <c r="D121" s="39" t="s">
        <v>166</v>
      </c>
      <c r="E121" s="25" t="s">
        <v>140</v>
      </c>
      <c r="F121" s="25"/>
      <c r="G121" s="25"/>
      <c r="H121" s="38"/>
      <c r="I121" s="200" t="s">
        <v>188</v>
      </c>
      <c r="J121" s="199" t="s">
        <v>100</v>
      </c>
      <c r="K121" s="29">
        <f>7</f>
        <v>7</v>
      </c>
      <c r="L121" s="31">
        <f t="shared" ref="L121:V121" si="3">0</f>
        <v>0</v>
      </c>
      <c r="M121" s="26">
        <f t="shared" si="3"/>
        <v>0</v>
      </c>
      <c r="N121" s="26">
        <f t="shared" si="3"/>
        <v>0</v>
      </c>
      <c r="O121" s="26">
        <f t="shared" si="3"/>
        <v>0</v>
      </c>
      <c r="P121" s="26">
        <f t="shared" si="3"/>
        <v>0</v>
      </c>
      <c r="Q121" s="26">
        <f t="shared" si="3"/>
        <v>0</v>
      </c>
      <c r="R121" s="26">
        <f t="shared" si="3"/>
        <v>0</v>
      </c>
      <c r="S121" s="26">
        <f t="shared" si="3"/>
        <v>0</v>
      </c>
      <c r="T121" s="26">
        <f t="shared" si="3"/>
        <v>0</v>
      </c>
      <c r="U121" s="26">
        <f t="shared" si="3"/>
        <v>0</v>
      </c>
      <c r="V121" s="26">
        <f t="shared" si="3"/>
        <v>0</v>
      </c>
      <c r="W121" s="26"/>
      <c r="X121" s="26"/>
      <c r="Y121" s="26"/>
      <c r="Z121" s="26"/>
      <c r="AA121" s="26">
        <f>0</f>
        <v>0</v>
      </c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32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</row>
    <row r="122" spans="1:105" ht="13" customHeight="1">
      <c r="A122" s="24" t="s">
        <v>25</v>
      </c>
      <c r="B122" s="24" t="s">
        <v>165</v>
      </c>
      <c r="C122" s="26"/>
      <c r="D122" s="39" t="s">
        <v>166</v>
      </c>
      <c r="E122" s="25" t="s">
        <v>142</v>
      </c>
      <c r="F122" s="25"/>
      <c r="G122" s="25"/>
      <c r="H122" s="38"/>
      <c r="I122" s="198" t="s">
        <v>185</v>
      </c>
      <c r="J122" s="199" t="s">
        <v>100</v>
      </c>
      <c r="K122" s="29">
        <f>4748</f>
        <v>4748</v>
      </c>
      <c r="L122" s="31">
        <f>4783</f>
        <v>4783</v>
      </c>
      <c r="M122" s="26">
        <f>4783</f>
        <v>4783</v>
      </c>
      <c r="N122" s="26">
        <f>6303</f>
        <v>6303</v>
      </c>
      <c r="O122" s="26">
        <f>11203</f>
        <v>11203</v>
      </c>
      <c r="P122" s="26">
        <f>16403</f>
        <v>16403</v>
      </c>
      <c r="Q122" s="26">
        <f>19103</f>
        <v>19103</v>
      </c>
      <c r="R122" s="26">
        <v>22603</v>
      </c>
      <c r="S122" s="26">
        <v>22603</v>
      </c>
      <c r="T122" s="26">
        <v>22603</v>
      </c>
      <c r="U122" s="26">
        <v>22603</v>
      </c>
      <c r="V122" s="26">
        <v>22603</v>
      </c>
      <c r="W122" s="26"/>
      <c r="X122" s="26"/>
      <c r="Y122" s="26"/>
      <c r="Z122" s="26"/>
      <c r="AA122" s="26">
        <v>22603</v>
      </c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32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</row>
    <row r="123" spans="1:105" ht="13" customHeight="1">
      <c r="A123" s="24" t="s">
        <v>25</v>
      </c>
      <c r="B123" s="24" t="s">
        <v>165</v>
      </c>
      <c r="C123" s="26"/>
      <c r="D123" s="39" t="s">
        <v>166</v>
      </c>
      <c r="E123" s="25" t="s">
        <v>142</v>
      </c>
      <c r="F123" s="25"/>
      <c r="G123" s="25"/>
      <c r="H123" s="38"/>
      <c r="I123" s="200" t="s">
        <v>118</v>
      </c>
      <c r="J123" s="199" t="s">
        <v>100</v>
      </c>
      <c r="K123" s="29">
        <f>4529</f>
        <v>4529</v>
      </c>
      <c r="L123" s="31">
        <f>4417</f>
        <v>4417</v>
      </c>
      <c r="M123" s="26">
        <f>4520</f>
        <v>4520</v>
      </c>
      <c r="N123" s="26">
        <f>4700</f>
        <v>4700</v>
      </c>
      <c r="O123" s="26">
        <f>6000</f>
        <v>6000</v>
      </c>
      <c r="P123" s="26">
        <f>9000</f>
        <v>9000</v>
      </c>
      <c r="Q123" s="26">
        <f>12150</f>
        <v>12150</v>
      </c>
      <c r="R123" s="26">
        <f>16200</f>
        <v>16200</v>
      </c>
      <c r="S123" s="26">
        <f>17300</f>
        <v>17300</v>
      </c>
      <c r="T123" s="26">
        <f>18500</f>
        <v>18500</v>
      </c>
      <c r="U123" s="26">
        <f>19200</f>
        <v>19200</v>
      </c>
      <c r="V123" s="26">
        <f>20000</f>
        <v>20000</v>
      </c>
      <c r="W123" s="26"/>
      <c r="X123" s="26"/>
      <c r="Y123" s="26"/>
      <c r="Z123" s="26"/>
      <c r="AA123" s="26">
        <f>20750</f>
        <v>20750</v>
      </c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32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</row>
    <row r="124" spans="1:105" ht="13" customHeight="1">
      <c r="A124" s="24" t="s">
        <v>25</v>
      </c>
      <c r="B124" s="24" t="s">
        <v>165</v>
      </c>
      <c r="C124" s="26"/>
      <c r="D124" s="39" t="s">
        <v>166</v>
      </c>
      <c r="E124" s="25" t="s">
        <v>142</v>
      </c>
      <c r="F124" s="25"/>
      <c r="G124" s="25"/>
      <c r="H124" s="38"/>
      <c r="I124" s="200" t="s">
        <v>186</v>
      </c>
      <c r="J124" s="199" t="s">
        <v>100</v>
      </c>
      <c r="K124" s="29">
        <f>2425</f>
        <v>2425</v>
      </c>
      <c r="L124" s="31">
        <f>2322</f>
        <v>2322</v>
      </c>
      <c r="M124" s="26">
        <f>2370</f>
        <v>2370</v>
      </c>
      <c r="N124" s="26">
        <f>2420</f>
        <v>2420</v>
      </c>
      <c r="O124" s="26">
        <f>2950</f>
        <v>2950</v>
      </c>
      <c r="P124" s="26">
        <f>3700</f>
        <v>3700</v>
      </c>
      <c r="Q124" s="26">
        <f>4350</f>
        <v>4350</v>
      </c>
      <c r="R124" s="26">
        <f>5000</f>
        <v>5000</v>
      </c>
      <c r="S124" s="26">
        <f>5300</f>
        <v>5300</v>
      </c>
      <c r="T124" s="26">
        <f>5750</f>
        <v>5750</v>
      </c>
      <c r="U124" s="26">
        <f>5955</f>
        <v>5955</v>
      </c>
      <c r="V124" s="26">
        <f>6400</f>
        <v>6400</v>
      </c>
      <c r="W124" s="26"/>
      <c r="X124" s="26"/>
      <c r="Y124" s="26"/>
      <c r="Z124" s="26"/>
      <c r="AA124" s="26">
        <f>6750</f>
        <v>6750</v>
      </c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32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</row>
    <row r="125" spans="1:105" ht="13" customHeight="1">
      <c r="A125" s="24" t="s">
        <v>25</v>
      </c>
      <c r="B125" s="24" t="s">
        <v>165</v>
      </c>
      <c r="C125" s="26"/>
      <c r="D125" s="39" t="s">
        <v>166</v>
      </c>
      <c r="E125" s="25" t="s">
        <v>142</v>
      </c>
      <c r="F125" s="25"/>
      <c r="G125" s="25"/>
      <c r="H125" s="38"/>
      <c r="I125" s="200" t="s">
        <v>187</v>
      </c>
      <c r="J125" s="199" t="s">
        <v>100</v>
      </c>
      <c r="K125" s="29">
        <f>2111</f>
        <v>2111</v>
      </c>
      <c r="L125" s="31">
        <f>2095</f>
        <v>2095</v>
      </c>
      <c r="M125" s="26">
        <f>2150</f>
        <v>2150</v>
      </c>
      <c r="N125" s="26">
        <f>2280</f>
        <v>2280</v>
      </c>
      <c r="O125" s="26">
        <f>3050</f>
        <v>3050</v>
      </c>
      <c r="P125" s="26">
        <f>5300</f>
        <v>5300</v>
      </c>
      <c r="Q125" s="26">
        <f>7800</f>
        <v>7800</v>
      </c>
      <c r="R125" s="26">
        <f>11200</f>
        <v>11200</v>
      </c>
      <c r="S125" s="26">
        <f>12000</f>
        <v>12000</v>
      </c>
      <c r="T125" s="26">
        <f>12750</f>
        <v>12750</v>
      </c>
      <c r="U125" s="26">
        <f>13245</f>
        <v>13245</v>
      </c>
      <c r="V125" s="26">
        <f>13600</f>
        <v>13600</v>
      </c>
      <c r="W125" s="26"/>
      <c r="X125" s="26"/>
      <c r="Y125" s="26"/>
      <c r="Z125" s="26"/>
      <c r="AA125" s="26">
        <f>14000</f>
        <v>14000</v>
      </c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32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</row>
    <row r="126" spans="1:105" ht="13" customHeight="1">
      <c r="A126" s="24" t="s">
        <v>25</v>
      </c>
      <c r="B126" s="24" t="s">
        <v>165</v>
      </c>
      <c r="C126" s="26"/>
      <c r="D126" s="39" t="s">
        <v>166</v>
      </c>
      <c r="E126" s="25" t="s">
        <v>142</v>
      </c>
      <c r="F126" s="25"/>
      <c r="G126" s="25"/>
      <c r="H126" s="38"/>
      <c r="I126" s="200" t="s">
        <v>188</v>
      </c>
      <c r="J126" s="199" t="s">
        <v>100</v>
      </c>
      <c r="K126" s="29">
        <f>7</f>
        <v>7</v>
      </c>
      <c r="L126" s="31">
        <f t="shared" ref="L126:V126" si="4">0</f>
        <v>0</v>
      </c>
      <c r="M126" s="26">
        <f t="shared" si="4"/>
        <v>0</v>
      </c>
      <c r="N126" s="26">
        <f t="shared" si="4"/>
        <v>0</v>
      </c>
      <c r="O126" s="26">
        <f t="shared" si="4"/>
        <v>0</v>
      </c>
      <c r="P126" s="26">
        <f t="shared" si="4"/>
        <v>0</v>
      </c>
      <c r="Q126" s="26">
        <f t="shared" si="4"/>
        <v>0</v>
      </c>
      <c r="R126" s="26">
        <f t="shared" si="4"/>
        <v>0</v>
      </c>
      <c r="S126" s="26">
        <f t="shared" si="4"/>
        <v>0</v>
      </c>
      <c r="T126" s="26">
        <f t="shared" si="4"/>
        <v>0</v>
      </c>
      <c r="U126" s="26">
        <f t="shared" si="4"/>
        <v>0</v>
      </c>
      <c r="V126" s="26">
        <f t="shared" si="4"/>
        <v>0</v>
      </c>
      <c r="W126" s="26"/>
      <c r="X126" s="26"/>
      <c r="Y126" s="26"/>
      <c r="Z126" s="26"/>
      <c r="AA126" s="26">
        <f>0</f>
        <v>0</v>
      </c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32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</row>
    <row r="127" spans="1:105" ht="13" customHeight="1">
      <c r="A127" s="24" t="s">
        <v>25</v>
      </c>
      <c r="B127" s="24" t="s">
        <v>165</v>
      </c>
      <c r="C127" s="26"/>
      <c r="D127" s="39" t="s">
        <v>166</v>
      </c>
      <c r="E127" s="25" t="s">
        <v>140</v>
      </c>
      <c r="F127" s="25"/>
      <c r="G127" s="25"/>
      <c r="H127" s="38"/>
      <c r="I127" s="204" t="s">
        <v>189</v>
      </c>
      <c r="J127" s="199" t="s">
        <v>100</v>
      </c>
      <c r="K127" s="29">
        <f>26134</f>
        <v>26134</v>
      </c>
      <c r="L127" s="31">
        <f>26385</f>
        <v>26385</v>
      </c>
      <c r="M127" s="26">
        <f>29219</f>
        <v>29219</v>
      </c>
      <c r="N127" s="26">
        <f>30879</f>
        <v>30879</v>
      </c>
      <c r="O127" s="26">
        <f>31334</f>
        <v>31334</v>
      </c>
      <c r="P127" s="26">
        <f>33375</f>
        <v>33375</v>
      </c>
      <c r="Q127" s="26">
        <f>35629</f>
        <v>35629</v>
      </c>
      <c r="R127" s="26">
        <f>38107</f>
        <v>38107</v>
      </c>
      <c r="S127" s="26">
        <f>38107</f>
        <v>38107</v>
      </c>
      <c r="T127" s="26">
        <f>39843</f>
        <v>39843</v>
      </c>
      <c r="U127" s="26">
        <f>39843</f>
        <v>39843</v>
      </c>
      <c r="V127" s="26">
        <f>40162</f>
        <v>40162</v>
      </c>
      <c r="W127" s="26"/>
      <c r="X127" s="26"/>
      <c r="Y127" s="26"/>
      <c r="Z127" s="26"/>
      <c r="AA127" s="26">
        <f>40162</f>
        <v>40162</v>
      </c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32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</row>
    <row r="128" spans="1:105" ht="13" customHeight="1">
      <c r="A128" s="24" t="s">
        <v>25</v>
      </c>
      <c r="B128" s="24" t="s">
        <v>165</v>
      </c>
      <c r="C128" s="26"/>
      <c r="D128" s="39" t="s">
        <v>166</v>
      </c>
      <c r="E128" s="25" t="s">
        <v>140</v>
      </c>
      <c r="F128" s="25"/>
      <c r="G128" s="25"/>
      <c r="H128" s="38"/>
      <c r="I128" s="198" t="s">
        <v>190</v>
      </c>
      <c r="J128" s="199" t="s">
        <v>100</v>
      </c>
      <c r="K128" s="29">
        <f>23703</f>
        <v>23703</v>
      </c>
      <c r="L128" s="31">
        <f>24877</f>
        <v>24877</v>
      </c>
      <c r="M128" s="26">
        <f>25795</f>
        <v>25795</v>
      </c>
      <c r="N128" s="26">
        <f>26490</f>
        <v>26490</v>
      </c>
      <c r="O128" s="26">
        <f>27210</f>
        <v>27210</v>
      </c>
      <c r="P128" s="26">
        <f>27950</f>
        <v>27950</v>
      </c>
      <c r="Q128" s="26">
        <f>28835</f>
        <v>28835</v>
      </c>
      <c r="R128" s="26">
        <f>29980</f>
        <v>29980</v>
      </c>
      <c r="S128" s="26">
        <f>30900</f>
        <v>30900</v>
      </c>
      <c r="T128" s="26">
        <f>31760</f>
        <v>31760</v>
      </c>
      <c r="U128" s="26">
        <f>32520</f>
        <v>32520</v>
      </c>
      <c r="V128" s="26">
        <f>33100</f>
        <v>33100</v>
      </c>
      <c r="W128" s="26"/>
      <c r="X128" s="26"/>
      <c r="Y128" s="26"/>
      <c r="Z128" s="26"/>
      <c r="AA128" s="26">
        <f>35000</f>
        <v>35000</v>
      </c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32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</row>
    <row r="129" spans="1:105" ht="13" customHeight="1">
      <c r="A129" s="24" t="s">
        <v>25</v>
      </c>
      <c r="B129" s="24" t="s">
        <v>165</v>
      </c>
      <c r="C129" s="26"/>
      <c r="D129" s="39" t="s">
        <v>166</v>
      </c>
      <c r="E129" s="25" t="s">
        <v>140</v>
      </c>
      <c r="F129" s="25"/>
      <c r="G129" s="25"/>
      <c r="H129" s="38"/>
      <c r="I129" s="198" t="s">
        <v>191</v>
      </c>
      <c r="J129" s="199" t="s">
        <v>100</v>
      </c>
      <c r="K129" s="29">
        <f>6510</f>
        <v>6510</v>
      </c>
      <c r="L129" s="31">
        <f>7775</f>
        <v>7775</v>
      </c>
      <c r="M129" s="26">
        <f>8068</f>
        <v>8068</v>
      </c>
      <c r="N129" s="26">
        <f>8224</f>
        <v>8224</v>
      </c>
      <c r="O129" s="26">
        <f>8319</f>
        <v>8319</v>
      </c>
      <c r="P129" s="26">
        <f>8415</f>
        <v>8415</v>
      </c>
      <c r="Q129" s="26">
        <f>8486</f>
        <v>8486</v>
      </c>
      <c r="R129" s="26">
        <f>8540</f>
        <v>8540</v>
      </c>
      <c r="S129" s="26">
        <f>8635</f>
        <v>8635</v>
      </c>
      <c r="T129" s="26">
        <f>8732</f>
        <v>8732</v>
      </c>
      <c r="U129" s="26">
        <f>8830</f>
        <v>8830</v>
      </c>
      <c r="V129" s="26">
        <f>8925</f>
        <v>8925</v>
      </c>
      <c r="W129" s="26"/>
      <c r="X129" s="26"/>
      <c r="Y129" s="26"/>
      <c r="Z129" s="26"/>
      <c r="AA129" s="26">
        <f>9290</f>
        <v>9290</v>
      </c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32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</row>
    <row r="130" spans="1:105" ht="13" customHeight="1">
      <c r="A130" s="24" t="s">
        <v>25</v>
      </c>
      <c r="B130" s="24" t="s">
        <v>165</v>
      </c>
      <c r="C130" s="26"/>
      <c r="D130" s="39" t="s">
        <v>166</v>
      </c>
      <c r="E130" s="25" t="s">
        <v>140</v>
      </c>
      <c r="F130" s="25"/>
      <c r="G130" s="25"/>
      <c r="H130" s="38"/>
      <c r="I130" s="198" t="s">
        <v>192</v>
      </c>
      <c r="J130" s="199" t="s">
        <v>100</v>
      </c>
      <c r="K130" s="29">
        <f>17357</f>
        <v>17357</v>
      </c>
      <c r="L130" s="31">
        <f>17227</f>
        <v>17227</v>
      </c>
      <c r="M130" s="26">
        <f>17850</f>
        <v>17850</v>
      </c>
      <c r="N130" s="26">
        <f>18370</f>
        <v>18370</v>
      </c>
      <c r="O130" s="26">
        <f>18995</f>
        <v>18995</v>
      </c>
      <c r="P130" s="26">
        <f>19625</f>
        <v>19625</v>
      </c>
      <c r="Q130" s="26">
        <f>20430</f>
        <v>20430</v>
      </c>
      <c r="R130" s="26">
        <f>21515</f>
        <v>21515</v>
      </c>
      <c r="S130" s="26">
        <f>22330</f>
        <v>22330</v>
      </c>
      <c r="T130" s="26">
        <f>23085</f>
        <v>23085</v>
      </c>
      <c r="U130" s="26">
        <f>23735</f>
        <v>23735</v>
      </c>
      <c r="V130" s="26">
        <f>24210</f>
        <v>24210</v>
      </c>
      <c r="W130" s="26"/>
      <c r="X130" s="26"/>
      <c r="Y130" s="26"/>
      <c r="Z130" s="26"/>
      <c r="AA130" s="26">
        <f>25710</f>
        <v>25710</v>
      </c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32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</row>
    <row r="131" spans="1:105" ht="13" customHeight="1">
      <c r="A131" s="24" t="s">
        <v>25</v>
      </c>
      <c r="B131" s="24" t="s">
        <v>165</v>
      </c>
      <c r="C131" s="26"/>
      <c r="D131" s="39" t="s">
        <v>166</v>
      </c>
      <c r="E131" s="25" t="s">
        <v>140</v>
      </c>
      <c r="F131" s="25"/>
      <c r="G131" s="25"/>
      <c r="H131" s="38"/>
      <c r="I131" s="198" t="s">
        <v>193</v>
      </c>
      <c r="J131" s="199" t="s">
        <v>100</v>
      </c>
      <c r="K131" s="29">
        <f>164</f>
        <v>164</v>
      </c>
      <c r="L131" s="31">
        <f>125</f>
        <v>125</v>
      </c>
      <c r="M131" s="26">
        <f>123</f>
        <v>123</v>
      </c>
      <c r="N131" s="26">
        <f>104</f>
        <v>104</v>
      </c>
      <c r="O131" s="26">
        <f>104</f>
        <v>104</v>
      </c>
      <c r="P131" s="26">
        <f>90</f>
        <v>90</v>
      </c>
      <c r="Q131" s="26">
        <f>81</f>
        <v>81</v>
      </c>
      <c r="R131" s="26">
        <f>75</f>
        <v>75</v>
      </c>
      <c r="S131" s="26">
        <f>65</f>
        <v>65</v>
      </c>
      <c r="T131" s="26">
        <f>57</f>
        <v>57</v>
      </c>
      <c r="U131" s="26">
        <f>45</f>
        <v>45</v>
      </c>
      <c r="V131" s="26">
        <f>35</f>
        <v>35</v>
      </c>
      <c r="W131" s="26"/>
      <c r="X131" s="26"/>
      <c r="Y131" s="26"/>
      <c r="Z131" s="26"/>
      <c r="AA131" s="26">
        <f>15</f>
        <v>15</v>
      </c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32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</row>
    <row r="132" spans="1:105" ht="13" customHeight="1">
      <c r="A132" s="24" t="s">
        <v>25</v>
      </c>
      <c r="B132" s="24" t="s">
        <v>165</v>
      </c>
      <c r="C132" s="26"/>
      <c r="D132" s="39" t="s">
        <v>166</v>
      </c>
      <c r="E132" s="25" t="s">
        <v>142</v>
      </c>
      <c r="F132" s="25"/>
      <c r="G132" s="25"/>
      <c r="H132" s="38"/>
      <c r="I132" s="205" t="s">
        <v>189</v>
      </c>
      <c r="J132" s="199" t="s">
        <v>100</v>
      </c>
      <c r="K132" s="29">
        <f>26134</f>
        <v>26134</v>
      </c>
      <c r="L132" s="31">
        <f>26385</f>
        <v>26385</v>
      </c>
      <c r="M132" s="26">
        <f>30769</f>
        <v>30769</v>
      </c>
      <c r="N132" s="26">
        <f>31314</f>
        <v>31314</v>
      </c>
      <c r="O132" s="26">
        <f>31949</f>
        <v>31949</v>
      </c>
      <c r="P132" s="26">
        <f>35133</f>
        <v>35133</v>
      </c>
      <c r="Q132" s="26">
        <f>40623</f>
        <v>40623</v>
      </c>
      <c r="R132" s="26">
        <f>40623</f>
        <v>40623</v>
      </c>
      <c r="S132" s="26">
        <f>42359</f>
        <v>42359</v>
      </c>
      <c r="T132" s="26">
        <f>42359</f>
        <v>42359</v>
      </c>
      <c r="U132" s="26">
        <f>42678</f>
        <v>42678</v>
      </c>
      <c r="V132" s="26">
        <f>42678</f>
        <v>42678</v>
      </c>
      <c r="W132" s="26"/>
      <c r="X132" s="26"/>
      <c r="Y132" s="26"/>
      <c r="Z132" s="26"/>
      <c r="AA132" s="26">
        <f>43050</f>
        <v>43050</v>
      </c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32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</row>
    <row r="133" spans="1:105" ht="13" customHeight="1">
      <c r="A133" s="24" t="s">
        <v>25</v>
      </c>
      <c r="B133" s="24" t="s">
        <v>165</v>
      </c>
      <c r="C133" s="26"/>
      <c r="D133" s="39" t="s">
        <v>166</v>
      </c>
      <c r="E133" s="25" t="s">
        <v>142</v>
      </c>
      <c r="F133" s="25"/>
      <c r="G133" s="25"/>
      <c r="H133" s="38"/>
      <c r="I133" s="206" t="s">
        <v>190</v>
      </c>
      <c r="J133" s="199" t="s">
        <v>100</v>
      </c>
      <c r="K133" s="29">
        <f>23703</f>
        <v>23703</v>
      </c>
      <c r="L133" s="31">
        <f>24877</f>
        <v>24877</v>
      </c>
      <c r="M133" s="26">
        <f>25795</f>
        <v>25795</v>
      </c>
      <c r="N133" s="26">
        <f>26815</f>
        <v>26815</v>
      </c>
      <c r="O133" s="26">
        <f>27880</f>
        <v>27880</v>
      </c>
      <c r="P133" s="26">
        <f>29275</f>
        <v>29275</v>
      </c>
      <c r="Q133" s="26">
        <f>30080</f>
        <v>30080</v>
      </c>
      <c r="R133" s="26">
        <f>32410</f>
        <v>32410</v>
      </c>
      <c r="S133" s="26">
        <f>33815</f>
        <v>33815</v>
      </c>
      <c r="T133" s="26">
        <f>34975</f>
        <v>34975</v>
      </c>
      <c r="U133" s="26">
        <f>36440</f>
        <v>36440</v>
      </c>
      <c r="V133" s="26">
        <f>37475</f>
        <v>37475</v>
      </c>
      <c r="W133" s="26"/>
      <c r="X133" s="26"/>
      <c r="Y133" s="26"/>
      <c r="Z133" s="26"/>
      <c r="AA133" s="26">
        <f>40120</f>
        <v>40120</v>
      </c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32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</row>
    <row r="134" spans="1:105" ht="13" customHeight="1">
      <c r="A134" s="24" t="s">
        <v>25</v>
      </c>
      <c r="B134" s="24" t="s">
        <v>165</v>
      </c>
      <c r="C134" s="26"/>
      <c r="D134" s="39" t="s">
        <v>166</v>
      </c>
      <c r="E134" s="25" t="s">
        <v>142</v>
      </c>
      <c r="F134" s="25"/>
      <c r="G134" s="25"/>
      <c r="H134" s="38"/>
      <c r="I134" s="206" t="s">
        <v>191</v>
      </c>
      <c r="J134" s="199" t="s">
        <v>100</v>
      </c>
      <c r="K134" s="29">
        <f>6510</f>
        <v>6510</v>
      </c>
      <c r="L134" s="31">
        <f>3987</f>
        <v>3987</v>
      </c>
      <c r="M134" s="26">
        <f>4148</f>
        <v>4148</v>
      </c>
      <c r="N134" s="26">
        <f>4308</f>
        <v>4308</v>
      </c>
      <c r="O134" s="26">
        <f>4438</f>
        <v>4438</v>
      </c>
      <c r="P134" s="26">
        <f>4577</f>
        <v>4577</v>
      </c>
      <c r="Q134" s="26">
        <f>4726</f>
        <v>4726</v>
      </c>
      <c r="R134" s="26">
        <f>4885</f>
        <v>4885</v>
      </c>
      <c r="S134" s="26">
        <f>5013</f>
        <v>5013</v>
      </c>
      <c r="T134" s="26">
        <f>5125</f>
        <v>5125</v>
      </c>
      <c r="U134" s="26">
        <f>5350</f>
        <v>5350</v>
      </c>
      <c r="V134" s="26">
        <f>5455</f>
        <v>5455</v>
      </c>
      <c r="W134" s="26"/>
      <c r="X134" s="26"/>
      <c r="Y134" s="26"/>
      <c r="Z134" s="26"/>
      <c r="AA134" s="26">
        <f>5640</f>
        <v>5640</v>
      </c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32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</row>
    <row r="135" spans="1:105" ht="13" customHeight="1">
      <c r="A135" s="24" t="s">
        <v>25</v>
      </c>
      <c r="B135" s="24" t="s">
        <v>165</v>
      </c>
      <c r="C135" s="26"/>
      <c r="D135" s="39" t="s">
        <v>166</v>
      </c>
      <c r="E135" s="25" t="s">
        <v>142</v>
      </c>
      <c r="F135" s="25"/>
      <c r="G135" s="25"/>
      <c r="H135" s="38"/>
      <c r="I135" s="206" t="s">
        <v>192</v>
      </c>
      <c r="J135" s="199" t="s">
        <v>100</v>
      </c>
      <c r="K135" s="29">
        <f>17357</f>
        <v>17357</v>
      </c>
      <c r="L135" s="31">
        <f>7207</f>
        <v>7207</v>
      </c>
      <c r="M135" s="26">
        <f>7380</f>
        <v>7380</v>
      </c>
      <c r="N135" s="26">
        <f>7620</f>
        <v>7620</v>
      </c>
      <c r="O135" s="26">
        <f>7990</f>
        <v>7990</v>
      </c>
      <c r="P135" s="26">
        <f>8650</f>
        <v>8650</v>
      </c>
      <c r="Q135" s="26">
        <f>9400</f>
        <v>9400</v>
      </c>
      <c r="R135" s="26">
        <f>9940</f>
        <v>9940</v>
      </c>
      <c r="S135" s="26">
        <f>10410</f>
        <v>10410</v>
      </c>
      <c r="T135" s="26">
        <f>10890</f>
        <v>10890</v>
      </c>
      <c r="U135" s="26">
        <f>11560</f>
        <v>11560</v>
      </c>
      <c r="V135" s="26">
        <f>11800</f>
        <v>11800</v>
      </c>
      <c r="W135" s="26"/>
      <c r="X135" s="26"/>
      <c r="Y135" s="26"/>
      <c r="Z135" s="26"/>
      <c r="AA135" s="26">
        <f>12200</f>
        <v>12200</v>
      </c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32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</row>
    <row r="136" spans="1:105" ht="13" customHeight="1">
      <c r="A136" s="24" t="s">
        <v>25</v>
      </c>
      <c r="B136" s="24" t="s">
        <v>165</v>
      </c>
      <c r="C136" s="26"/>
      <c r="D136" s="39" t="s">
        <v>166</v>
      </c>
      <c r="E136" s="25" t="s">
        <v>142</v>
      </c>
      <c r="F136" s="25"/>
      <c r="G136" s="25"/>
      <c r="H136" s="38"/>
      <c r="I136" s="206" t="s">
        <v>193</v>
      </c>
      <c r="J136" s="199" t="s">
        <v>100</v>
      </c>
      <c r="K136" s="29">
        <f>164</f>
        <v>164</v>
      </c>
      <c r="L136" s="31">
        <f>28</f>
        <v>28</v>
      </c>
      <c r="M136" s="26">
        <f>28</f>
        <v>28</v>
      </c>
      <c r="N136" s="26">
        <f>28</f>
        <v>28</v>
      </c>
      <c r="O136" s="26">
        <f>28</f>
        <v>28</v>
      </c>
      <c r="P136" s="26">
        <f>27</f>
        <v>27</v>
      </c>
      <c r="Q136" s="26">
        <f>26</f>
        <v>26</v>
      </c>
      <c r="R136" s="26">
        <f>25</f>
        <v>25</v>
      </c>
      <c r="S136" s="26">
        <f>23</f>
        <v>23</v>
      </c>
      <c r="T136" s="26">
        <f>15</f>
        <v>15</v>
      </c>
      <c r="U136" s="26">
        <f>10</f>
        <v>10</v>
      </c>
      <c r="V136" s="26">
        <f>5</f>
        <v>5</v>
      </c>
      <c r="W136" s="26"/>
      <c r="X136" s="26"/>
      <c r="Y136" s="26"/>
      <c r="Z136" s="26"/>
      <c r="AA136" s="26">
        <f>0</f>
        <v>0</v>
      </c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32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</row>
    <row r="137" spans="1:105" ht="13" customHeight="1">
      <c r="A137" s="24" t="s">
        <v>25</v>
      </c>
      <c r="B137" s="24" t="s">
        <v>165</v>
      </c>
      <c r="C137" s="26"/>
      <c r="D137" s="39" t="s">
        <v>166</v>
      </c>
      <c r="E137" s="25" t="s">
        <v>140</v>
      </c>
      <c r="F137" s="25"/>
      <c r="G137" s="25"/>
      <c r="H137" s="38"/>
      <c r="I137" s="207" t="s">
        <v>194</v>
      </c>
      <c r="J137" s="199" t="s">
        <v>100</v>
      </c>
      <c r="K137" s="29">
        <f>11345</f>
        <v>11345</v>
      </c>
      <c r="L137" s="31">
        <f>11799</f>
        <v>11799</v>
      </c>
      <c r="M137" s="26">
        <f>13206</f>
        <v>13206</v>
      </c>
      <c r="N137" s="26">
        <f>13297</f>
        <v>13297</v>
      </c>
      <c r="O137" s="26">
        <f>13593</f>
        <v>13593</v>
      </c>
      <c r="P137" s="26">
        <f>14095</f>
        <v>14095</v>
      </c>
      <c r="Q137" s="26">
        <f>14903</f>
        <v>14903</v>
      </c>
      <c r="R137" s="26">
        <f>16141</f>
        <v>16141</v>
      </c>
      <c r="S137" s="26">
        <f>16141</f>
        <v>16141</v>
      </c>
      <c r="T137" s="26">
        <f>16141</f>
        <v>16141</v>
      </c>
      <c r="U137" s="26">
        <f>16141</f>
        <v>16141</v>
      </c>
      <c r="V137" s="26">
        <f>16460</f>
        <v>16460</v>
      </c>
      <c r="W137" s="26"/>
      <c r="X137" s="26"/>
      <c r="Y137" s="26"/>
      <c r="Z137" s="26"/>
      <c r="AA137" s="26">
        <f>16460</f>
        <v>16460</v>
      </c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32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</row>
    <row r="138" spans="1:105" ht="13" customHeight="1">
      <c r="A138" s="24" t="s">
        <v>25</v>
      </c>
      <c r="B138" s="24" t="s">
        <v>165</v>
      </c>
      <c r="C138" s="26"/>
      <c r="D138" s="39" t="s">
        <v>166</v>
      </c>
      <c r="E138" s="25" t="s">
        <v>140</v>
      </c>
      <c r="F138" s="25"/>
      <c r="G138" s="25"/>
      <c r="H138" s="38"/>
      <c r="I138" s="208" t="s">
        <v>195</v>
      </c>
      <c r="J138" s="199" t="s">
        <v>100</v>
      </c>
      <c r="K138" s="29">
        <f>10913</f>
        <v>10913</v>
      </c>
      <c r="L138" s="31">
        <f>11166</f>
        <v>11166</v>
      </c>
      <c r="M138" s="26">
        <f>11500</f>
        <v>11500</v>
      </c>
      <c r="N138" s="26">
        <f>11630</f>
        <v>11630</v>
      </c>
      <c r="O138" s="26">
        <f>11870</f>
        <v>11870</v>
      </c>
      <c r="P138" s="26">
        <f>12130</f>
        <v>12130</v>
      </c>
      <c r="Q138" s="26">
        <f>12395</f>
        <v>12395</v>
      </c>
      <c r="R138" s="26">
        <f>12680</f>
        <v>12680</v>
      </c>
      <c r="S138" s="26">
        <f>12950</f>
        <v>12950</v>
      </c>
      <c r="T138" s="26">
        <f>13190</f>
        <v>13190</v>
      </c>
      <c r="U138" s="26">
        <f>13440</f>
        <v>13440</v>
      </c>
      <c r="V138" s="26">
        <f>13700</f>
        <v>13700</v>
      </c>
      <c r="W138" s="26"/>
      <c r="X138" s="26"/>
      <c r="Y138" s="26"/>
      <c r="Z138" s="26"/>
      <c r="AA138" s="26">
        <f>14250</f>
        <v>14250</v>
      </c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32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</row>
    <row r="139" spans="1:105" ht="13" customHeight="1">
      <c r="A139" s="24" t="s">
        <v>25</v>
      </c>
      <c r="B139" s="24" t="s">
        <v>165</v>
      </c>
      <c r="C139" s="26"/>
      <c r="D139" s="39" t="s">
        <v>166</v>
      </c>
      <c r="E139" s="25" t="s">
        <v>140</v>
      </c>
      <c r="F139" s="25"/>
      <c r="G139" s="25"/>
      <c r="H139" s="38"/>
      <c r="I139" s="208" t="s">
        <v>196</v>
      </c>
      <c r="J139" s="199" t="s">
        <v>100</v>
      </c>
      <c r="K139" s="29">
        <f>3413</f>
        <v>3413</v>
      </c>
      <c r="L139" s="31">
        <f>3987</f>
        <v>3987</v>
      </c>
      <c r="M139" s="26">
        <f>4148</f>
        <v>4148</v>
      </c>
      <c r="N139" s="26">
        <f>4229</f>
        <v>4229</v>
      </c>
      <c r="O139" s="26">
        <f>4299</f>
        <v>4299</v>
      </c>
      <c r="P139" s="26">
        <f>4348</f>
        <v>4348</v>
      </c>
      <c r="Q139" s="26">
        <f>4390</f>
        <v>4390</v>
      </c>
      <c r="R139" s="26">
        <f>4435</f>
        <v>4435</v>
      </c>
      <c r="S139" s="26">
        <f>4482</f>
        <v>4482</v>
      </c>
      <c r="T139" s="26">
        <f>4530</f>
        <v>4530</v>
      </c>
      <c r="U139" s="26">
        <f>4580</f>
        <v>4580</v>
      </c>
      <c r="V139" s="26">
        <f>4630</f>
        <v>4630</v>
      </c>
      <c r="W139" s="26"/>
      <c r="X139" s="26"/>
      <c r="Y139" s="26"/>
      <c r="Z139" s="26"/>
      <c r="AA139" s="26">
        <f>4750</f>
        <v>4750</v>
      </c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32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</row>
    <row r="140" spans="1:105" ht="13" customHeight="1">
      <c r="A140" s="24" t="s">
        <v>25</v>
      </c>
      <c r="B140" s="24" t="s">
        <v>165</v>
      </c>
      <c r="C140" s="26"/>
      <c r="D140" s="39" t="s">
        <v>166</v>
      </c>
      <c r="E140" s="25" t="s">
        <v>140</v>
      </c>
      <c r="F140" s="25"/>
      <c r="G140" s="25"/>
      <c r="H140" s="38"/>
      <c r="I140" s="208" t="s">
        <v>197</v>
      </c>
      <c r="J140" s="199" t="s">
        <v>100</v>
      </c>
      <c r="K140" s="29">
        <f>7533</f>
        <v>7533</v>
      </c>
      <c r="L140" s="31">
        <f>7207</f>
        <v>7207</v>
      </c>
      <c r="M140" s="26">
        <f>7380</f>
        <v>7380</v>
      </c>
      <c r="N140" s="26">
        <f>7430</f>
        <v>7430</v>
      </c>
      <c r="O140" s="26">
        <f>7600</f>
        <v>7600</v>
      </c>
      <c r="P140" s="26">
        <f>7810</f>
        <v>7810</v>
      </c>
      <c r="Q140" s="26">
        <f>8030</f>
        <v>8030</v>
      </c>
      <c r="R140" s="26">
        <f>8270</f>
        <v>8270</v>
      </c>
      <c r="S140" s="26">
        <f>8490</f>
        <v>8490</v>
      </c>
      <c r="T140" s="26">
        <f>8680</f>
        <v>8680</v>
      </c>
      <c r="U140" s="26">
        <f>8875</f>
        <v>8875</v>
      </c>
      <c r="V140" s="26">
        <f>9080</f>
        <v>9080</v>
      </c>
      <c r="W140" s="26"/>
      <c r="X140" s="26"/>
      <c r="Y140" s="26"/>
      <c r="Z140" s="26"/>
      <c r="AA140" s="26">
        <f>9500</f>
        <v>9500</v>
      </c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32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</row>
    <row r="141" spans="1:105" ht="13" customHeight="1">
      <c r="A141" s="24" t="s">
        <v>25</v>
      </c>
      <c r="B141" s="24" t="s">
        <v>165</v>
      </c>
      <c r="C141" s="26"/>
      <c r="D141" s="39" t="s">
        <v>166</v>
      </c>
      <c r="E141" s="25" t="s">
        <v>140</v>
      </c>
      <c r="F141" s="25"/>
      <c r="G141" s="25"/>
      <c r="H141" s="38"/>
      <c r="I141" s="208" t="s">
        <v>198</v>
      </c>
      <c r="J141" s="199" t="s">
        <v>100</v>
      </c>
      <c r="K141" s="29">
        <f>33</f>
        <v>33</v>
      </c>
      <c r="L141" s="31">
        <f>28</f>
        <v>28</v>
      </c>
      <c r="M141" s="26">
        <f>28</f>
        <v>28</v>
      </c>
      <c r="N141" s="26">
        <f>29</f>
        <v>29</v>
      </c>
      <c r="O141" s="26">
        <f>29</f>
        <v>29</v>
      </c>
      <c r="P141" s="26">
        <f>28</f>
        <v>28</v>
      </c>
      <c r="Q141" s="26">
        <f>25</f>
        <v>25</v>
      </c>
      <c r="R141" s="26">
        <f>25</f>
        <v>25</v>
      </c>
      <c r="S141" s="26">
        <f>22</f>
        <v>22</v>
      </c>
      <c r="T141" s="26">
        <f>20</f>
        <v>20</v>
      </c>
      <c r="U141" s="26">
        <f>15</f>
        <v>15</v>
      </c>
      <c r="V141" s="26">
        <f>10</f>
        <v>10</v>
      </c>
      <c r="W141" s="26"/>
      <c r="X141" s="26"/>
      <c r="Y141" s="26"/>
      <c r="Z141" s="26"/>
      <c r="AA141" s="26">
        <f>10</f>
        <v>10</v>
      </c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32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</row>
    <row r="142" spans="1:105" ht="13" customHeight="1">
      <c r="A142" s="24" t="s">
        <v>25</v>
      </c>
      <c r="B142" s="24" t="s">
        <v>165</v>
      </c>
      <c r="C142" s="26"/>
      <c r="D142" s="39" t="s">
        <v>166</v>
      </c>
      <c r="E142" s="25" t="s">
        <v>142</v>
      </c>
      <c r="F142" s="25"/>
      <c r="G142" s="25"/>
      <c r="H142" s="38"/>
      <c r="I142" s="207" t="s">
        <v>194</v>
      </c>
      <c r="J142" s="199" t="s">
        <v>100</v>
      </c>
      <c r="K142" s="29">
        <f>11345</f>
        <v>11345</v>
      </c>
      <c r="L142" s="31">
        <f>11799</f>
        <v>11799</v>
      </c>
      <c r="M142" s="26">
        <f>13206</f>
        <v>13206</v>
      </c>
      <c r="N142" s="26">
        <f>13573</f>
        <v>13573</v>
      </c>
      <c r="O142" s="26">
        <f>14095</f>
        <v>14095</v>
      </c>
      <c r="P142" s="26">
        <f>15832</f>
        <v>15832</v>
      </c>
      <c r="Q142" s="26">
        <f>18657</f>
        <v>18657</v>
      </c>
      <c r="R142" s="26">
        <f>18657</f>
        <v>18657</v>
      </c>
      <c r="S142" s="26">
        <f>18657</f>
        <v>18657</v>
      </c>
      <c r="T142" s="26">
        <f>18657</f>
        <v>18657</v>
      </c>
      <c r="U142" s="26">
        <f>18976</f>
        <v>18976</v>
      </c>
      <c r="V142" s="26">
        <f>18976</f>
        <v>18976</v>
      </c>
      <c r="W142" s="26"/>
      <c r="X142" s="26"/>
      <c r="Y142" s="26"/>
      <c r="Z142" s="26"/>
      <c r="AA142" s="26">
        <f>18976</f>
        <v>18976</v>
      </c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32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</row>
    <row r="143" spans="1:105" ht="13" customHeight="1">
      <c r="A143" s="24" t="s">
        <v>25</v>
      </c>
      <c r="B143" s="24" t="s">
        <v>165</v>
      </c>
      <c r="C143" s="26"/>
      <c r="D143" s="39" t="s">
        <v>166</v>
      </c>
      <c r="E143" s="25" t="s">
        <v>142</v>
      </c>
      <c r="F143" s="25"/>
      <c r="G143" s="25"/>
      <c r="H143" s="38"/>
      <c r="I143" s="208" t="s">
        <v>195</v>
      </c>
      <c r="J143" s="199" t="s">
        <v>100</v>
      </c>
      <c r="K143" s="29">
        <f>10913</f>
        <v>10913</v>
      </c>
      <c r="L143" s="31">
        <f>11166</f>
        <v>11166</v>
      </c>
      <c r="M143" s="26">
        <f>11500</f>
        <v>11500</v>
      </c>
      <c r="N143" s="26">
        <f>11900</f>
        <v>11900</v>
      </c>
      <c r="O143" s="26">
        <f>12400</f>
        <v>12400</v>
      </c>
      <c r="P143" s="26">
        <f>13200</f>
        <v>13200</v>
      </c>
      <c r="Q143" s="26">
        <f>14100</f>
        <v>14100</v>
      </c>
      <c r="R143" s="26">
        <f>14800</f>
        <v>14800</v>
      </c>
      <c r="S143" s="26">
        <f>15400</f>
        <v>15400</v>
      </c>
      <c r="T143" s="26">
        <f>16000</f>
        <v>16000</v>
      </c>
      <c r="U143" s="26">
        <f>16900</f>
        <v>16900</v>
      </c>
      <c r="V143" s="26">
        <f>17250</f>
        <v>17250</v>
      </c>
      <c r="W143" s="26"/>
      <c r="X143" s="26"/>
      <c r="Y143" s="26"/>
      <c r="Z143" s="26"/>
      <c r="AA143" s="26">
        <f>17840</f>
        <v>17840</v>
      </c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32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</row>
    <row r="144" spans="1:105" ht="13" customHeight="1">
      <c r="A144" s="24" t="s">
        <v>25</v>
      </c>
      <c r="B144" s="24" t="s">
        <v>165</v>
      </c>
      <c r="C144" s="26"/>
      <c r="D144" s="39" t="s">
        <v>166</v>
      </c>
      <c r="E144" s="25" t="s">
        <v>142</v>
      </c>
      <c r="F144" s="25"/>
      <c r="G144" s="25"/>
      <c r="H144" s="38"/>
      <c r="I144" s="208" t="s">
        <v>196</v>
      </c>
      <c r="J144" s="199" t="s">
        <v>100</v>
      </c>
      <c r="K144" s="29">
        <f>3413</f>
        <v>3413</v>
      </c>
      <c r="L144" s="31">
        <f>3987</f>
        <v>3987</v>
      </c>
      <c r="M144" s="26">
        <f>4148</f>
        <v>4148</v>
      </c>
      <c r="N144" s="26">
        <f>4308</f>
        <v>4308</v>
      </c>
      <c r="O144" s="26">
        <f>4438</f>
        <v>4438</v>
      </c>
      <c r="P144" s="26">
        <f>4577</f>
        <v>4577</v>
      </c>
      <c r="Q144" s="26">
        <f>4726</f>
        <v>4726</v>
      </c>
      <c r="R144" s="26">
        <f>4885</f>
        <v>4885</v>
      </c>
      <c r="S144" s="26">
        <f>5013</f>
        <v>5013</v>
      </c>
      <c r="T144" s="26">
        <f>5125</f>
        <v>5125</v>
      </c>
      <c r="U144" s="26">
        <f>5350</f>
        <v>5350</v>
      </c>
      <c r="V144" s="26">
        <f>5455</f>
        <v>5455</v>
      </c>
      <c r="W144" s="26"/>
      <c r="X144" s="26"/>
      <c r="Y144" s="26"/>
      <c r="Z144" s="26"/>
      <c r="AA144" s="26">
        <f>5640</f>
        <v>5640</v>
      </c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32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</row>
    <row r="145" spans="1:105" ht="13" customHeight="1">
      <c r="A145" s="24" t="s">
        <v>25</v>
      </c>
      <c r="B145" s="24" t="s">
        <v>165</v>
      </c>
      <c r="C145" s="26"/>
      <c r="D145" s="39" t="s">
        <v>166</v>
      </c>
      <c r="E145" s="25" t="s">
        <v>142</v>
      </c>
      <c r="F145" s="25"/>
      <c r="G145" s="25"/>
      <c r="H145" s="38"/>
      <c r="I145" s="208" t="s">
        <v>197</v>
      </c>
      <c r="J145" s="199" t="s">
        <v>100</v>
      </c>
      <c r="K145" s="29">
        <f>7533</f>
        <v>7533</v>
      </c>
      <c r="L145" s="31">
        <f>7207</f>
        <v>7207</v>
      </c>
      <c r="M145" s="26">
        <f>7380</f>
        <v>7380</v>
      </c>
      <c r="N145" s="26">
        <f>7620</f>
        <v>7620</v>
      </c>
      <c r="O145" s="26">
        <f>7990</f>
        <v>7990</v>
      </c>
      <c r="P145" s="26">
        <f>8650</f>
        <v>8650</v>
      </c>
      <c r="Q145" s="26">
        <f>9400</f>
        <v>9400</v>
      </c>
      <c r="R145" s="26">
        <f>9940</f>
        <v>9940</v>
      </c>
      <c r="S145" s="26">
        <f>10410</f>
        <v>10410</v>
      </c>
      <c r="T145" s="26">
        <f>10890</f>
        <v>10890</v>
      </c>
      <c r="U145" s="26">
        <f>11560</f>
        <v>11560</v>
      </c>
      <c r="V145" s="26">
        <f>11800</f>
        <v>11800</v>
      </c>
      <c r="W145" s="26"/>
      <c r="X145" s="26"/>
      <c r="Y145" s="26"/>
      <c r="Z145" s="26"/>
      <c r="AA145" s="26">
        <f>12200</f>
        <v>12200</v>
      </c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32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</row>
    <row r="146" spans="1:105" ht="13" customHeight="1">
      <c r="A146" s="24" t="s">
        <v>25</v>
      </c>
      <c r="B146" s="24" t="s">
        <v>165</v>
      </c>
      <c r="C146" s="26"/>
      <c r="D146" s="39" t="s">
        <v>166</v>
      </c>
      <c r="E146" s="25" t="s">
        <v>142</v>
      </c>
      <c r="F146" s="25"/>
      <c r="G146" s="25"/>
      <c r="H146" s="38"/>
      <c r="I146" s="208" t="s">
        <v>198</v>
      </c>
      <c r="J146" s="199" t="s">
        <v>100</v>
      </c>
      <c r="K146" s="29">
        <f>33</f>
        <v>33</v>
      </c>
      <c r="L146" s="31">
        <f>28</f>
        <v>28</v>
      </c>
      <c r="M146" s="26">
        <f>28</f>
        <v>28</v>
      </c>
      <c r="N146" s="26">
        <f>28</f>
        <v>28</v>
      </c>
      <c r="O146" s="26">
        <f>28</f>
        <v>28</v>
      </c>
      <c r="P146" s="26">
        <f>27</f>
        <v>27</v>
      </c>
      <c r="Q146" s="26">
        <f>26</f>
        <v>26</v>
      </c>
      <c r="R146" s="26">
        <f>25</f>
        <v>25</v>
      </c>
      <c r="S146" s="26">
        <f>23</f>
        <v>23</v>
      </c>
      <c r="T146" s="26">
        <f>15</f>
        <v>15</v>
      </c>
      <c r="U146" s="26">
        <f>10</f>
        <v>10</v>
      </c>
      <c r="V146" s="26">
        <f>5</f>
        <v>5</v>
      </c>
      <c r="W146" s="26"/>
      <c r="X146" s="26"/>
      <c r="Y146" s="26"/>
      <c r="Z146" s="26"/>
      <c r="AA146" s="26">
        <f>0</f>
        <v>0</v>
      </c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32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</row>
    <row r="147" spans="1:105" ht="13" customHeight="1">
      <c r="A147" s="24" t="s">
        <v>25</v>
      </c>
      <c r="B147" s="24" t="s">
        <v>165</v>
      </c>
      <c r="C147" s="26"/>
      <c r="D147" s="39" t="s">
        <v>166</v>
      </c>
      <c r="E147" s="25" t="s">
        <v>140</v>
      </c>
      <c r="F147" s="25"/>
      <c r="G147" s="25"/>
      <c r="H147" s="38"/>
      <c r="I147" s="207" t="s">
        <v>199</v>
      </c>
      <c r="J147" s="199" t="s">
        <v>100</v>
      </c>
      <c r="K147" s="29">
        <f>4814</f>
        <v>4814</v>
      </c>
      <c r="L147" s="31">
        <f>4856</f>
        <v>4856</v>
      </c>
      <c r="M147" s="26">
        <f>4856</f>
        <v>4856</v>
      </c>
      <c r="N147" s="26">
        <f>4875</f>
        <v>4875</v>
      </c>
      <c r="O147" s="26">
        <f>5035</f>
        <v>5035</v>
      </c>
      <c r="P147" s="26">
        <f>5147</f>
        <v>5147</v>
      </c>
      <c r="Q147" s="26">
        <f t="shared" ref="Q147:V147" si="5">5168</f>
        <v>5168</v>
      </c>
      <c r="R147" s="26">
        <f t="shared" si="5"/>
        <v>5168</v>
      </c>
      <c r="S147" s="26">
        <f t="shared" si="5"/>
        <v>5168</v>
      </c>
      <c r="T147" s="26">
        <f t="shared" si="5"/>
        <v>5168</v>
      </c>
      <c r="U147" s="26">
        <f t="shared" si="5"/>
        <v>5168</v>
      </c>
      <c r="V147" s="26">
        <f t="shared" si="5"/>
        <v>5168</v>
      </c>
      <c r="W147" s="26"/>
      <c r="X147" s="26"/>
      <c r="Y147" s="26"/>
      <c r="Z147" s="26"/>
      <c r="AA147" s="26">
        <f>5168</f>
        <v>5168</v>
      </c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32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</row>
    <row r="148" spans="1:105" ht="13" customHeight="1">
      <c r="A148" s="24" t="s">
        <v>25</v>
      </c>
      <c r="B148" s="24" t="s">
        <v>165</v>
      </c>
      <c r="C148" s="26"/>
      <c r="D148" s="39" t="s">
        <v>166</v>
      </c>
      <c r="E148" s="25" t="s">
        <v>140</v>
      </c>
      <c r="F148" s="25"/>
      <c r="G148" s="25"/>
      <c r="H148" s="38"/>
      <c r="I148" s="208" t="s">
        <v>200</v>
      </c>
      <c r="J148" s="199" t="s">
        <v>100</v>
      </c>
      <c r="K148" s="29">
        <f>4115</f>
        <v>4115</v>
      </c>
      <c r="L148" s="31">
        <f>4256</f>
        <v>4256</v>
      </c>
      <c r="M148" s="26">
        <f>4345</f>
        <v>4345</v>
      </c>
      <c r="N148" s="26">
        <f>4390</f>
        <v>4390</v>
      </c>
      <c r="O148" s="26">
        <f>4440</f>
        <v>4440</v>
      </c>
      <c r="P148" s="26">
        <f>4460</f>
        <v>4460</v>
      </c>
      <c r="Q148" s="26">
        <f>4480</f>
        <v>4480</v>
      </c>
      <c r="R148" s="26">
        <f>4500</f>
        <v>4500</v>
      </c>
      <c r="S148" s="26">
        <f>4550</f>
        <v>4550</v>
      </c>
      <c r="T148" s="26">
        <f>4570</f>
        <v>4570</v>
      </c>
      <c r="U148" s="26">
        <v>4580</v>
      </c>
      <c r="V148" s="26">
        <f>4600</f>
        <v>4600</v>
      </c>
      <c r="W148" s="26"/>
      <c r="X148" s="26"/>
      <c r="Y148" s="26"/>
      <c r="Z148" s="26"/>
      <c r="AA148" s="26">
        <f>4750</f>
        <v>4750</v>
      </c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32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</row>
    <row r="149" spans="1:105" ht="13" customHeight="1">
      <c r="A149" s="24" t="s">
        <v>25</v>
      </c>
      <c r="B149" s="24" t="s">
        <v>165</v>
      </c>
      <c r="C149" s="26"/>
      <c r="D149" s="39" t="s">
        <v>166</v>
      </c>
      <c r="E149" s="25" t="s">
        <v>140</v>
      </c>
      <c r="F149" s="25"/>
      <c r="G149" s="25"/>
      <c r="H149" s="38"/>
      <c r="I149" s="208" t="s">
        <v>201</v>
      </c>
      <c r="J149" s="199" t="s">
        <v>100</v>
      </c>
      <c r="K149" s="29">
        <f>990</f>
        <v>990</v>
      </c>
      <c r="L149" s="31">
        <f>1028</f>
        <v>1028</v>
      </c>
      <c r="M149" s="26">
        <f>1065</f>
        <v>1065</v>
      </c>
      <c r="N149" s="26">
        <f>1060</f>
        <v>1060</v>
      </c>
      <c r="O149" s="26">
        <f>1060</f>
        <v>1060</v>
      </c>
      <c r="P149" s="26">
        <f>1062</f>
        <v>1062</v>
      </c>
      <c r="Q149" s="26">
        <f>1066</f>
        <v>1066</v>
      </c>
      <c r="R149" s="26">
        <f>1070</f>
        <v>1070</v>
      </c>
      <c r="S149" s="26">
        <f>1073</f>
        <v>1073</v>
      </c>
      <c r="T149" s="26">
        <f>1077</f>
        <v>1077</v>
      </c>
      <c r="U149" s="26">
        <f>1080</f>
        <v>1080</v>
      </c>
      <c r="V149" s="26">
        <f>1080</f>
        <v>1080</v>
      </c>
      <c r="W149" s="26"/>
      <c r="X149" s="26"/>
      <c r="Y149" s="26"/>
      <c r="Z149" s="26"/>
      <c r="AA149" s="26">
        <f>1090</f>
        <v>1090</v>
      </c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32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</row>
    <row r="150" spans="1:105" ht="13" customHeight="1">
      <c r="A150" s="24" t="s">
        <v>25</v>
      </c>
      <c r="B150" s="24" t="s">
        <v>165</v>
      </c>
      <c r="C150" s="26"/>
      <c r="D150" s="39" t="s">
        <v>166</v>
      </c>
      <c r="E150" s="25" t="s">
        <v>140</v>
      </c>
      <c r="F150" s="25"/>
      <c r="G150" s="25"/>
      <c r="H150" s="38"/>
      <c r="I150" s="208" t="s">
        <v>202</v>
      </c>
      <c r="J150" s="199" t="s">
        <v>100</v>
      </c>
      <c r="K150" s="29">
        <f>3145</f>
        <v>3145</v>
      </c>
      <c r="L150" s="31">
        <f>3253</f>
        <v>3253</v>
      </c>
      <c r="M150" s="26">
        <f>3310</f>
        <v>3310</v>
      </c>
      <c r="N150" s="26">
        <f>3310</f>
        <v>3310</v>
      </c>
      <c r="O150" s="26">
        <f>3400</f>
        <v>3400</v>
      </c>
      <c r="P150" s="26">
        <f>3415</f>
        <v>3415</v>
      </c>
      <c r="Q150" s="26">
        <f>3430</f>
        <v>3430</v>
      </c>
      <c r="R150" s="26">
        <f>3445</f>
        <v>3445</v>
      </c>
      <c r="S150" s="26">
        <f>3490</f>
        <v>3490</v>
      </c>
      <c r="T150" s="26">
        <f>3505</f>
        <v>3505</v>
      </c>
      <c r="U150" s="26">
        <f>3510</f>
        <v>3510</v>
      </c>
      <c r="V150" s="26">
        <f>3530</f>
        <v>3530</v>
      </c>
      <c r="W150" s="26"/>
      <c r="X150" s="26"/>
      <c r="Y150" s="26"/>
      <c r="Z150" s="26"/>
      <c r="AA150" s="26">
        <f>3660</f>
        <v>3660</v>
      </c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32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</row>
    <row r="151" spans="1:105" ht="13" customHeight="1">
      <c r="A151" s="24" t="s">
        <v>25</v>
      </c>
      <c r="B151" s="24" t="s">
        <v>165</v>
      </c>
      <c r="C151" s="26"/>
      <c r="D151" s="39" t="s">
        <v>166</v>
      </c>
      <c r="E151" s="25" t="s">
        <v>140</v>
      </c>
      <c r="F151" s="25"/>
      <c r="G151" s="25"/>
      <c r="H151" s="38"/>
      <c r="I151" s="208" t="s">
        <v>203</v>
      </c>
      <c r="J151" s="199" t="s">
        <v>100</v>
      </c>
      <c r="K151" s="29">
        <f>20</f>
        <v>20</v>
      </c>
      <c r="L151" s="31">
        <f>25</f>
        <v>25</v>
      </c>
      <c r="M151" s="26">
        <f>30</f>
        <v>30</v>
      </c>
      <c r="N151" s="26">
        <f>30</f>
        <v>30</v>
      </c>
      <c r="O151" s="26">
        <f>20</f>
        <v>20</v>
      </c>
      <c r="P151" s="26">
        <f>17</f>
        <v>17</v>
      </c>
      <c r="Q151" s="26">
        <f>16</f>
        <v>16</v>
      </c>
      <c r="R151" s="26">
        <f>15</f>
        <v>15</v>
      </c>
      <c r="S151" s="26">
        <f>13</f>
        <v>13</v>
      </c>
      <c r="T151" s="26">
        <f>12</f>
        <v>12</v>
      </c>
      <c r="U151" s="26">
        <f>10</f>
        <v>10</v>
      </c>
      <c r="V151" s="26">
        <f>10</f>
        <v>10</v>
      </c>
      <c r="W151" s="26"/>
      <c r="X151" s="26"/>
      <c r="Y151" s="26"/>
      <c r="Z151" s="26"/>
      <c r="AA151" s="26">
        <f>0</f>
        <v>0</v>
      </c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32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</row>
    <row r="152" spans="1:105" ht="13" customHeight="1">
      <c r="A152" s="24" t="s">
        <v>25</v>
      </c>
      <c r="B152" s="24" t="s">
        <v>165</v>
      </c>
      <c r="C152" s="26"/>
      <c r="D152" s="39" t="s">
        <v>166</v>
      </c>
      <c r="E152" s="25" t="s">
        <v>142</v>
      </c>
      <c r="F152" s="25"/>
      <c r="G152" s="25"/>
      <c r="H152" s="38"/>
      <c r="I152" s="207" t="s">
        <v>199</v>
      </c>
      <c r="J152" s="199" t="s">
        <v>100</v>
      </c>
      <c r="K152" s="29">
        <f>4814</f>
        <v>4814</v>
      </c>
      <c r="L152" s="31">
        <f>4856</f>
        <v>4856</v>
      </c>
      <c r="M152" s="26">
        <f>4856</f>
        <v>4856</v>
      </c>
      <c r="N152" s="26">
        <f>5035</f>
        <v>5035</v>
      </c>
      <c r="O152" s="26">
        <f>5147</f>
        <v>5147</v>
      </c>
      <c r="P152" s="26">
        <f t="shared" ref="P152:V152" si="6">5168</f>
        <v>5168</v>
      </c>
      <c r="Q152" s="26">
        <f t="shared" si="6"/>
        <v>5168</v>
      </c>
      <c r="R152" s="26">
        <f t="shared" si="6"/>
        <v>5168</v>
      </c>
      <c r="S152" s="26">
        <f t="shared" si="6"/>
        <v>5168</v>
      </c>
      <c r="T152" s="26">
        <f t="shared" si="6"/>
        <v>5168</v>
      </c>
      <c r="U152" s="26">
        <f t="shared" si="6"/>
        <v>5168</v>
      </c>
      <c r="V152" s="26">
        <f t="shared" si="6"/>
        <v>5168</v>
      </c>
      <c r="W152" s="26"/>
      <c r="X152" s="26"/>
      <c r="Y152" s="26"/>
      <c r="Z152" s="26"/>
      <c r="AA152" s="26">
        <f>5168</f>
        <v>5168</v>
      </c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32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</row>
    <row r="153" spans="1:105" ht="13" customHeight="1">
      <c r="A153" s="24" t="s">
        <v>25</v>
      </c>
      <c r="B153" s="24" t="s">
        <v>165</v>
      </c>
      <c r="C153" s="26"/>
      <c r="D153" s="39" t="s">
        <v>166</v>
      </c>
      <c r="E153" s="25" t="s">
        <v>142</v>
      </c>
      <c r="F153" s="25"/>
      <c r="G153" s="25"/>
      <c r="H153" s="38"/>
      <c r="I153" s="208" t="s">
        <v>200</v>
      </c>
      <c r="J153" s="199" t="s">
        <v>100</v>
      </c>
      <c r="K153" s="29">
        <f>4115</f>
        <v>4115</v>
      </c>
      <c r="L153" s="31">
        <f>4256</f>
        <v>4256</v>
      </c>
      <c r="M153" s="26">
        <f>4345</f>
        <v>4345</v>
      </c>
      <c r="N153" s="26">
        <f>4435</f>
        <v>4435</v>
      </c>
      <c r="O153" s="26">
        <f>4530</f>
        <v>4530</v>
      </c>
      <c r="P153" s="26">
        <f>4620</f>
        <v>4620</v>
      </c>
      <c r="Q153" s="26">
        <f>4710</f>
        <v>4710</v>
      </c>
      <c r="R153" s="26">
        <f>4790</f>
        <v>4790</v>
      </c>
      <c r="S153" s="26">
        <f>4865</f>
        <v>4865</v>
      </c>
      <c r="T153" s="26">
        <f>4935</f>
        <v>4935</v>
      </c>
      <c r="U153" s="26">
        <f>5000</f>
        <v>5000</v>
      </c>
      <c r="V153" s="26">
        <f>5055</f>
        <v>5055</v>
      </c>
      <c r="W153" s="26"/>
      <c r="X153" s="26"/>
      <c r="Y153" s="26"/>
      <c r="Z153" s="26"/>
      <c r="AA153" s="26">
        <f>5230</f>
        <v>5230</v>
      </c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32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</row>
    <row r="154" spans="1:105" ht="13" customHeight="1">
      <c r="A154" s="24" t="s">
        <v>25</v>
      </c>
      <c r="B154" s="24" t="s">
        <v>165</v>
      </c>
      <c r="C154" s="26"/>
      <c r="D154" s="39" t="s">
        <v>166</v>
      </c>
      <c r="E154" s="25" t="s">
        <v>142</v>
      </c>
      <c r="F154" s="25"/>
      <c r="G154" s="25"/>
      <c r="H154" s="38"/>
      <c r="I154" s="208" t="s">
        <v>201</v>
      </c>
      <c r="J154" s="199" t="s">
        <v>100</v>
      </c>
      <c r="K154" s="29">
        <f>990</f>
        <v>990</v>
      </c>
      <c r="L154" s="31">
        <f>1028</f>
        <v>1028</v>
      </c>
      <c r="M154" s="26">
        <f>1065</f>
        <v>1065</v>
      </c>
      <c r="N154" s="26">
        <f>1085</f>
        <v>1085</v>
      </c>
      <c r="O154" s="26">
        <f>1090</f>
        <v>1090</v>
      </c>
      <c r="P154" s="26">
        <f>1106</f>
        <v>1106</v>
      </c>
      <c r="Q154" s="26">
        <f>1125</f>
        <v>1125</v>
      </c>
      <c r="R154" s="26">
        <f>1138</f>
        <v>1138</v>
      </c>
      <c r="S154" s="26">
        <f>1147</f>
        <v>1147</v>
      </c>
      <c r="T154" s="26">
        <f>1155</f>
        <v>1155</v>
      </c>
      <c r="U154" s="26">
        <f>1163</f>
        <v>1163</v>
      </c>
      <c r="V154" s="26">
        <f>1183</f>
        <v>1183</v>
      </c>
      <c r="W154" s="26"/>
      <c r="X154" s="26"/>
      <c r="Y154" s="26"/>
      <c r="Z154" s="26"/>
      <c r="AA154" s="26">
        <f>1240</f>
        <v>1240</v>
      </c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32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</row>
    <row r="155" spans="1:105" ht="13" customHeight="1">
      <c r="A155" s="24" t="s">
        <v>25</v>
      </c>
      <c r="B155" s="24" t="s">
        <v>165</v>
      </c>
      <c r="C155" s="26"/>
      <c r="D155" s="39" t="s">
        <v>166</v>
      </c>
      <c r="E155" s="25" t="s">
        <v>142</v>
      </c>
      <c r="F155" s="25"/>
      <c r="G155" s="25"/>
      <c r="H155" s="38"/>
      <c r="I155" s="208" t="s">
        <v>202</v>
      </c>
      <c r="J155" s="199" t="s">
        <v>100</v>
      </c>
      <c r="K155" s="29">
        <f>3145</f>
        <v>3145</v>
      </c>
      <c r="L155" s="31">
        <f>3253</f>
        <v>3253</v>
      </c>
      <c r="M155" s="26">
        <f>3310</f>
        <v>3310</v>
      </c>
      <c r="N155" s="26">
        <f>3375</f>
        <v>3375</v>
      </c>
      <c r="O155" s="26">
        <f>3460</f>
        <v>3460</v>
      </c>
      <c r="P155" s="26">
        <f>3530</f>
        <v>3530</v>
      </c>
      <c r="Q155" s="26">
        <f>3600</f>
        <v>3600</v>
      </c>
      <c r="R155" s="26">
        <f>3665</f>
        <v>3665</v>
      </c>
      <c r="S155" s="26">
        <f>3730</f>
        <v>3730</v>
      </c>
      <c r="T155" s="26">
        <f>3790</f>
        <v>3790</v>
      </c>
      <c r="U155" s="26">
        <f>3845</f>
        <v>3845</v>
      </c>
      <c r="V155" s="26">
        <f>3880</f>
        <v>3880</v>
      </c>
      <c r="W155" s="26"/>
      <c r="X155" s="26"/>
      <c r="Y155" s="26"/>
      <c r="Z155" s="26"/>
      <c r="AA155" s="26">
        <f>3990</f>
        <v>3990</v>
      </c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32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</row>
    <row r="156" spans="1:105" ht="13" customHeight="1">
      <c r="A156" s="24" t="s">
        <v>25</v>
      </c>
      <c r="B156" s="24" t="s">
        <v>165</v>
      </c>
      <c r="C156" s="26"/>
      <c r="D156" s="39" t="s">
        <v>166</v>
      </c>
      <c r="E156" s="25" t="s">
        <v>142</v>
      </c>
      <c r="F156" s="25"/>
      <c r="G156" s="25"/>
      <c r="H156" s="38"/>
      <c r="I156" s="208" t="s">
        <v>203</v>
      </c>
      <c r="J156" s="199" t="s">
        <v>100</v>
      </c>
      <c r="K156" s="29">
        <f>20</f>
        <v>20</v>
      </c>
      <c r="L156" s="31">
        <f>25</f>
        <v>25</v>
      </c>
      <c r="M156" s="26">
        <f>30</f>
        <v>30</v>
      </c>
      <c r="N156" s="26">
        <f>25</f>
        <v>25</v>
      </c>
      <c r="O156" s="26">
        <f>20</f>
        <v>20</v>
      </c>
      <c r="P156" s="26">
        <f>16</f>
        <v>16</v>
      </c>
      <c r="Q156" s="26">
        <f>15</f>
        <v>15</v>
      </c>
      <c r="R156" s="26">
        <f>13</f>
        <v>13</v>
      </c>
      <c r="S156" s="26">
        <f>12</f>
        <v>12</v>
      </c>
      <c r="T156" s="26">
        <f>10</f>
        <v>10</v>
      </c>
      <c r="U156" s="26">
        <f>8</f>
        <v>8</v>
      </c>
      <c r="V156" s="26">
        <f>8</f>
        <v>8</v>
      </c>
      <c r="W156" s="26"/>
      <c r="X156" s="26"/>
      <c r="Y156" s="26"/>
      <c r="Z156" s="26"/>
      <c r="AA156" s="26">
        <f>0</f>
        <v>0</v>
      </c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32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</row>
    <row r="157" spans="1:105" ht="13" customHeight="1">
      <c r="A157" s="24" t="s">
        <v>25</v>
      </c>
      <c r="B157" s="24" t="s">
        <v>165</v>
      </c>
      <c r="C157" s="26"/>
      <c r="D157" s="39" t="s">
        <v>166</v>
      </c>
      <c r="E157" s="25" t="s">
        <v>140</v>
      </c>
      <c r="F157" s="25"/>
      <c r="G157" s="25"/>
      <c r="H157" s="38"/>
      <c r="I157" s="207" t="s">
        <v>204</v>
      </c>
      <c r="J157" s="199" t="s">
        <v>100</v>
      </c>
      <c r="K157" s="29">
        <f>9975</f>
        <v>9975</v>
      </c>
      <c r="L157" s="31">
        <f>9730</f>
        <v>9730</v>
      </c>
      <c r="M157" s="26">
        <f>11156</f>
        <v>11156</v>
      </c>
      <c r="N157" s="26">
        <f>12706</f>
        <v>12706</v>
      </c>
      <c r="O157" s="26">
        <f>12706</f>
        <v>12706</v>
      </c>
      <c r="P157" s="26">
        <f>14132</f>
        <v>14132</v>
      </c>
      <c r="Q157" s="26">
        <f>15558</f>
        <v>15558</v>
      </c>
      <c r="R157" s="26">
        <f>16798</f>
        <v>16798</v>
      </c>
      <c r="S157" s="26">
        <f>16798</f>
        <v>16798</v>
      </c>
      <c r="T157" s="26">
        <f>18534</f>
        <v>18534</v>
      </c>
      <c r="U157" s="26">
        <f>18534</f>
        <v>18534</v>
      </c>
      <c r="V157" s="26">
        <f>18534</f>
        <v>18534</v>
      </c>
      <c r="W157" s="26"/>
      <c r="X157" s="26"/>
      <c r="Y157" s="26"/>
      <c r="Z157" s="26"/>
      <c r="AA157" s="26">
        <f>18534</f>
        <v>18534</v>
      </c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32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</row>
    <row r="158" spans="1:105" ht="13" customHeight="1">
      <c r="A158" s="24" t="s">
        <v>25</v>
      </c>
      <c r="B158" s="24" t="s">
        <v>165</v>
      </c>
      <c r="C158" s="26"/>
      <c r="D158" s="39" t="s">
        <v>166</v>
      </c>
      <c r="E158" s="25" t="s">
        <v>140</v>
      </c>
      <c r="F158" s="25"/>
      <c r="G158" s="25"/>
      <c r="H158" s="38"/>
      <c r="I158" s="208" t="s">
        <v>205</v>
      </c>
      <c r="J158" s="199" t="s">
        <v>100</v>
      </c>
      <c r="K158" s="29">
        <f>8675</f>
        <v>8675</v>
      </c>
      <c r="L158" s="31">
        <f>9455</f>
        <v>9455</v>
      </c>
      <c r="M158" s="26">
        <f>9950</f>
        <v>9950</v>
      </c>
      <c r="N158" s="26">
        <f>10470</f>
        <v>10470</v>
      </c>
      <c r="O158" s="26">
        <f>10900</f>
        <v>10900</v>
      </c>
      <c r="P158" s="26">
        <f>11360</f>
        <v>11360</v>
      </c>
      <c r="Q158" s="26">
        <f>11960</f>
        <v>11960</v>
      </c>
      <c r="R158" s="26">
        <f>12800</f>
        <v>12800</v>
      </c>
      <c r="S158" s="26">
        <f>13400</f>
        <v>13400</v>
      </c>
      <c r="T158" s="26">
        <f>14000</f>
        <v>14000</v>
      </c>
      <c r="U158" s="26">
        <f>14500</f>
        <v>14500</v>
      </c>
      <c r="V158" s="26">
        <f>14800</f>
        <v>14800</v>
      </c>
      <c r="W158" s="26"/>
      <c r="X158" s="26"/>
      <c r="Y158" s="26"/>
      <c r="Z158" s="26"/>
      <c r="AA158" s="26">
        <f>16000</f>
        <v>16000</v>
      </c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32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</row>
    <row r="159" spans="1:105" ht="13" customHeight="1">
      <c r="A159" s="24" t="s">
        <v>25</v>
      </c>
      <c r="B159" s="24" t="s">
        <v>165</v>
      </c>
      <c r="C159" s="26"/>
      <c r="D159" s="39" t="s">
        <v>166</v>
      </c>
      <c r="E159" s="25" t="s">
        <v>140</v>
      </c>
      <c r="F159" s="25"/>
      <c r="G159" s="25"/>
      <c r="H159" s="38"/>
      <c r="I159" s="208" t="s">
        <v>206</v>
      </c>
      <c r="J159" s="199" t="s">
        <v>100</v>
      </c>
      <c r="K159" s="29">
        <f>2107</f>
        <v>2107</v>
      </c>
      <c r="L159" s="31">
        <f>2760</f>
        <v>2760</v>
      </c>
      <c r="M159" s="26">
        <f>2855</f>
        <v>2855</v>
      </c>
      <c r="N159" s="26">
        <f>2935</f>
        <v>2935</v>
      </c>
      <c r="O159" s="26">
        <f>2960</f>
        <v>2960</v>
      </c>
      <c r="P159" s="26">
        <f>3005</f>
        <v>3005</v>
      </c>
      <c r="Q159" s="26">
        <f>3030</f>
        <v>3030</v>
      </c>
      <c r="R159" s="26">
        <f>3035</f>
        <v>3035</v>
      </c>
      <c r="S159" s="26">
        <f>3080</f>
        <v>3080</v>
      </c>
      <c r="T159" s="26">
        <f>3125</f>
        <v>3125</v>
      </c>
      <c r="U159" s="26">
        <f>3170</f>
        <v>3170</v>
      </c>
      <c r="V159" s="26">
        <f>3215</f>
        <v>3215</v>
      </c>
      <c r="W159" s="26"/>
      <c r="X159" s="26"/>
      <c r="Y159" s="26"/>
      <c r="Z159" s="26"/>
      <c r="AA159" s="26">
        <f>3450</f>
        <v>3450</v>
      </c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32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</row>
    <row r="160" spans="1:105" ht="13" customHeight="1">
      <c r="A160" s="24" t="s">
        <v>25</v>
      </c>
      <c r="B160" s="24" t="s">
        <v>165</v>
      </c>
      <c r="C160" s="26"/>
      <c r="D160" s="39" t="s">
        <v>166</v>
      </c>
      <c r="E160" s="25" t="s">
        <v>140</v>
      </c>
      <c r="F160" s="25"/>
      <c r="G160" s="25"/>
      <c r="H160" s="38"/>
      <c r="I160" s="208" t="s">
        <v>207</v>
      </c>
      <c r="J160" s="199" t="s">
        <v>100</v>
      </c>
      <c r="K160" s="29">
        <f>6679</f>
        <v>6679</v>
      </c>
      <c r="L160" s="31">
        <f>6768</f>
        <v>6768</v>
      </c>
      <c r="M160" s="26">
        <f>7160</f>
        <v>7160</v>
      </c>
      <c r="N160" s="26">
        <f>7590</f>
        <v>7590</v>
      </c>
      <c r="O160" s="26">
        <f>7995</f>
        <v>7995</v>
      </c>
      <c r="P160" s="26">
        <f>8400</f>
        <v>8400</v>
      </c>
      <c r="Q160" s="26">
        <f>8970</f>
        <v>8970</v>
      </c>
      <c r="R160" s="26">
        <f>9800</f>
        <v>9800</v>
      </c>
      <c r="S160" s="26">
        <f>10350</f>
        <v>10350</v>
      </c>
      <c r="T160" s="26">
        <f>10900</f>
        <v>10900</v>
      </c>
      <c r="U160" s="26">
        <f>11350</f>
        <v>11350</v>
      </c>
      <c r="V160" s="26">
        <f>11600</f>
        <v>11600</v>
      </c>
      <c r="W160" s="26"/>
      <c r="X160" s="26"/>
      <c r="Y160" s="26"/>
      <c r="Z160" s="26"/>
      <c r="AA160" s="26">
        <f>12550</f>
        <v>12550</v>
      </c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32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</row>
    <row r="161" spans="1:105" ht="13" customHeight="1">
      <c r="A161" s="24" t="s">
        <v>25</v>
      </c>
      <c r="B161" s="24" t="s">
        <v>165</v>
      </c>
      <c r="C161" s="26"/>
      <c r="D161" s="39" t="s">
        <v>166</v>
      </c>
      <c r="E161" s="25" t="s">
        <v>140</v>
      </c>
      <c r="F161" s="25"/>
      <c r="G161" s="25"/>
      <c r="H161" s="38"/>
      <c r="I161" s="208" t="s">
        <v>208</v>
      </c>
      <c r="J161" s="199" t="s">
        <v>100</v>
      </c>
      <c r="K161" s="29">
        <f>111</f>
        <v>111</v>
      </c>
      <c r="L161" s="31">
        <f>72</f>
        <v>72</v>
      </c>
      <c r="M161" s="26">
        <f>65</f>
        <v>65</v>
      </c>
      <c r="N161" s="26">
        <f>55</f>
        <v>55</v>
      </c>
      <c r="O161" s="26">
        <f>55</f>
        <v>55</v>
      </c>
      <c r="P161" s="26">
        <f>45</f>
        <v>45</v>
      </c>
      <c r="Q161" s="26">
        <f>40</f>
        <v>40</v>
      </c>
      <c r="R161" s="26">
        <f>35</f>
        <v>35</v>
      </c>
      <c r="S161" s="26">
        <f>30</f>
        <v>30</v>
      </c>
      <c r="T161" s="26">
        <f>25</f>
        <v>25</v>
      </c>
      <c r="U161" s="26">
        <f>20</f>
        <v>20</v>
      </c>
      <c r="V161" s="26">
        <f>15</f>
        <v>15</v>
      </c>
      <c r="W161" s="26"/>
      <c r="X161" s="26"/>
      <c r="Y161" s="26"/>
      <c r="Z161" s="26"/>
      <c r="AA161" s="26">
        <f>5</f>
        <v>5</v>
      </c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32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</row>
    <row r="162" spans="1:105" ht="13" customHeight="1">
      <c r="A162" s="24" t="s">
        <v>25</v>
      </c>
      <c r="B162" s="24" t="s">
        <v>165</v>
      </c>
      <c r="C162" s="26"/>
      <c r="D162" s="39" t="s">
        <v>166</v>
      </c>
      <c r="E162" s="25" t="s">
        <v>142</v>
      </c>
      <c r="F162" s="25"/>
      <c r="G162" s="25"/>
      <c r="H162" s="38"/>
      <c r="I162" s="207" t="s">
        <v>204</v>
      </c>
      <c r="J162" s="199" t="s">
        <v>100</v>
      </c>
      <c r="K162" s="29">
        <f>9975</f>
        <v>9975</v>
      </c>
      <c r="L162" s="31">
        <f>9730</f>
        <v>9730</v>
      </c>
      <c r="M162" s="26">
        <f>12706</f>
        <v>12706</v>
      </c>
      <c r="N162" s="26">
        <f>12706</f>
        <v>12706</v>
      </c>
      <c r="O162" s="26">
        <f>12706</f>
        <v>12706</v>
      </c>
      <c r="P162" s="26">
        <f>14132</f>
        <v>14132</v>
      </c>
      <c r="Q162" s="26">
        <f>16798</f>
        <v>16798</v>
      </c>
      <c r="R162" s="26">
        <f>16798</f>
        <v>16798</v>
      </c>
      <c r="S162" s="26">
        <f>18534</f>
        <v>18534</v>
      </c>
      <c r="T162" s="26">
        <f>18534</f>
        <v>18534</v>
      </c>
      <c r="U162" s="26">
        <f>18534</f>
        <v>18534</v>
      </c>
      <c r="V162" s="26">
        <f>18534</f>
        <v>18534</v>
      </c>
      <c r="W162" s="26"/>
      <c r="X162" s="26"/>
      <c r="Y162" s="26"/>
      <c r="Z162" s="26"/>
      <c r="AA162" s="26">
        <f>18906</f>
        <v>18906</v>
      </c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32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</row>
    <row r="163" spans="1:105" ht="13" customHeight="1">
      <c r="A163" s="24" t="s">
        <v>25</v>
      </c>
      <c r="B163" s="24" t="s">
        <v>165</v>
      </c>
      <c r="C163" s="26"/>
      <c r="D163" s="39" t="s">
        <v>166</v>
      </c>
      <c r="E163" s="25" t="s">
        <v>142</v>
      </c>
      <c r="F163" s="25"/>
      <c r="G163" s="25"/>
      <c r="H163" s="38"/>
      <c r="I163" s="208" t="s">
        <v>205</v>
      </c>
      <c r="J163" s="199" t="s">
        <v>100</v>
      </c>
      <c r="K163" s="29">
        <f>8675</f>
        <v>8675</v>
      </c>
      <c r="L163" s="31">
        <f>9455</f>
        <v>9455</v>
      </c>
      <c r="M163" s="26">
        <f>9950</f>
        <v>9950</v>
      </c>
      <c r="N163" s="26">
        <f>10480</f>
        <v>10480</v>
      </c>
      <c r="O163" s="26">
        <f>10950</f>
        <v>10950</v>
      </c>
      <c r="P163" s="26">
        <f>11455</f>
        <v>11455</v>
      </c>
      <c r="Q163" s="26">
        <f>12070</f>
        <v>12070</v>
      </c>
      <c r="R163" s="26">
        <f>12820</f>
        <v>12820</v>
      </c>
      <c r="S163" s="26">
        <f>13550</f>
        <v>13550</v>
      </c>
      <c r="T163" s="26">
        <f>14040</f>
        <v>14040</v>
      </c>
      <c r="U163" s="26">
        <f>14540</f>
        <v>14540</v>
      </c>
      <c r="V163" s="26">
        <f>15170</f>
        <v>15170</v>
      </c>
      <c r="W163" s="26"/>
      <c r="X163" s="26"/>
      <c r="Y163" s="26"/>
      <c r="Z163" s="26"/>
      <c r="AA163" s="26">
        <f>17050</f>
        <v>17050</v>
      </c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32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</row>
    <row r="164" spans="1:105" ht="13" customHeight="1">
      <c r="A164" s="24" t="s">
        <v>25</v>
      </c>
      <c r="B164" s="24" t="s">
        <v>165</v>
      </c>
      <c r="C164" s="26"/>
      <c r="D164" s="39" t="s">
        <v>166</v>
      </c>
      <c r="E164" s="25" t="s">
        <v>142</v>
      </c>
      <c r="F164" s="25"/>
      <c r="G164" s="25"/>
      <c r="H164" s="38"/>
      <c r="I164" s="208" t="s">
        <v>206</v>
      </c>
      <c r="J164" s="199" t="s">
        <v>100</v>
      </c>
      <c r="K164" s="29">
        <f>2107</f>
        <v>2107</v>
      </c>
      <c r="L164" s="31">
        <f>2760</f>
        <v>2760</v>
      </c>
      <c r="M164" s="26">
        <f>2855</f>
        <v>2855</v>
      </c>
      <c r="N164" s="26">
        <f>2940</f>
        <v>2940</v>
      </c>
      <c r="O164" s="26">
        <f>3000</f>
        <v>3000</v>
      </c>
      <c r="P164" s="26">
        <f>3035</f>
        <v>3035</v>
      </c>
      <c r="Q164" s="26">
        <f>3100</f>
        <v>3100</v>
      </c>
      <c r="R164" s="26">
        <f>3170</f>
        <v>3170</v>
      </c>
      <c r="S164" s="26">
        <f>3245</f>
        <v>3245</v>
      </c>
      <c r="T164" s="26">
        <f>3325</f>
        <v>3325</v>
      </c>
      <c r="U164" s="26">
        <f>3405</f>
        <v>3405</v>
      </c>
      <c r="V164" s="26">
        <f>3500</f>
        <v>3500</v>
      </c>
      <c r="W164" s="26"/>
      <c r="X164" s="26"/>
      <c r="Y164" s="26"/>
      <c r="Z164" s="26"/>
      <c r="AA164" s="26">
        <f>3900</f>
        <v>3900</v>
      </c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32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</row>
    <row r="165" spans="1:105" ht="13" customHeight="1">
      <c r="A165" s="24" t="s">
        <v>25</v>
      </c>
      <c r="B165" s="24" t="s">
        <v>165</v>
      </c>
      <c r="C165" s="26"/>
      <c r="D165" s="39" t="s">
        <v>166</v>
      </c>
      <c r="E165" s="25" t="s">
        <v>142</v>
      </c>
      <c r="F165" s="25"/>
      <c r="G165" s="25"/>
      <c r="H165" s="38"/>
      <c r="I165" s="208" t="s">
        <v>207</v>
      </c>
      <c r="J165" s="199" t="s">
        <v>100</v>
      </c>
      <c r="K165" s="29">
        <f>6679</f>
        <v>6679</v>
      </c>
      <c r="L165" s="31">
        <f>6768</f>
        <v>6768</v>
      </c>
      <c r="M165" s="26">
        <f>7160</f>
        <v>7160</v>
      </c>
      <c r="N165" s="26">
        <f>7600</f>
        <v>7600</v>
      </c>
      <c r="O165" s="26">
        <f>8000</f>
        <v>8000</v>
      </c>
      <c r="P165" s="26">
        <f>8455</f>
        <v>8455</v>
      </c>
      <c r="Q165" s="26">
        <f>9000</f>
        <v>9000</v>
      </c>
      <c r="R165" s="26">
        <f>9680</f>
        <v>9680</v>
      </c>
      <c r="S165" s="26">
        <f>10330</f>
        <v>10330</v>
      </c>
      <c r="T165" s="26">
        <f>10735</f>
        <v>10735</v>
      </c>
      <c r="U165" s="26">
        <f>11150</f>
        <v>11150</v>
      </c>
      <c r="V165" s="26">
        <f>11680</f>
        <v>11680</v>
      </c>
      <c r="W165" s="26"/>
      <c r="X165" s="26"/>
      <c r="Y165" s="26"/>
      <c r="Z165" s="26"/>
      <c r="AA165" s="26">
        <f>13150</f>
        <v>13150</v>
      </c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32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</row>
    <row r="166" spans="1:105" ht="13" customHeight="1">
      <c r="A166" s="24" t="s">
        <v>25</v>
      </c>
      <c r="B166" s="24" t="s">
        <v>165</v>
      </c>
      <c r="C166" s="26"/>
      <c r="D166" s="39" t="s">
        <v>166</v>
      </c>
      <c r="E166" s="25" t="s">
        <v>142</v>
      </c>
      <c r="F166" s="25"/>
      <c r="G166" s="25"/>
      <c r="H166" s="38"/>
      <c r="I166" s="208" t="s">
        <v>208</v>
      </c>
      <c r="J166" s="199" t="s">
        <v>100</v>
      </c>
      <c r="K166" s="29">
        <f>111</f>
        <v>111</v>
      </c>
      <c r="L166" s="31">
        <f>72</f>
        <v>72</v>
      </c>
      <c r="M166" s="26">
        <f>65</f>
        <v>65</v>
      </c>
      <c r="N166" s="26">
        <f>60</f>
        <v>60</v>
      </c>
      <c r="O166" s="26">
        <f>50</f>
        <v>50</v>
      </c>
      <c r="P166" s="26">
        <f>35</f>
        <v>35</v>
      </c>
      <c r="Q166" s="26">
        <f>30</f>
        <v>30</v>
      </c>
      <c r="R166" s="26">
        <f>30</f>
        <v>30</v>
      </c>
      <c r="S166" s="26">
        <f>25</f>
        <v>25</v>
      </c>
      <c r="T166" s="26">
        <f>20</f>
        <v>20</v>
      </c>
      <c r="U166" s="26">
        <f>15</f>
        <v>15</v>
      </c>
      <c r="V166" s="26">
        <f>10</f>
        <v>10</v>
      </c>
      <c r="W166" s="26"/>
      <c r="X166" s="26"/>
      <c r="Y166" s="26"/>
      <c r="Z166" s="26"/>
      <c r="AA166" s="26">
        <f>0</f>
        <v>0</v>
      </c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32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</row>
    <row r="167" spans="1:105" ht="13" customHeight="1">
      <c r="A167" s="24" t="s">
        <v>25</v>
      </c>
      <c r="B167" s="24" t="s">
        <v>165</v>
      </c>
      <c r="C167" s="26"/>
      <c r="D167" s="39" t="s">
        <v>166</v>
      </c>
      <c r="E167" s="25" t="s">
        <v>140</v>
      </c>
      <c r="F167" s="25"/>
      <c r="G167" s="25"/>
      <c r="H167" s="38"/>
      <c r="I167" s="198" t="s">
        <v>209</v>
      </c>
      <c r="J167" s="199" t="s">
        <v>100</v>
      </c>
      <c r="K167" s="29">
        <f>231</f>
        <v>231</v>
      </c>
      <c r="L167" s="31">
        <f>264</f>
        <v>264</v>
      </c>
      <c r="M167" s="26">
        <f>264</f>
        <v>264</v>
      </c>
      <c r="N167" s="26">
        <f>319</f>
        <v>319</v>
      </c>
      <c r="O167" s="26">
        <f>348</f>
        <v>348</v>
      </c>
      <c r="P167" s="26">
        <f>350</f>
        <v>350</v>
      </c>
      <c r="Q167" s="26">
        <f>350</f>
        <v>350</v>
      </c>
      <c r="R167" s="26">
        <f>370</f>
        <v>370</v>
      </c>
      <c r="S167" s="26">
        <f>460</f>
        <v>460</v>
      </c>
      <c r="T167" s="26">
        <f>535</f>
        <v>535</v>
      </c>
      <c r="U167" s="26">
        <f>535</f>
        <v>535</v>
      </c>
      <c r="V167" s="26">
        <f>826</f>
        <v>826</v>
      </c>
      <c r="W167" s="26"/>
      <c r="X167" s="26"/>
      <c r="Y167" s="26"/>
      <c r="Z167" s="26"/>
      <c r="AA167" s="26">
        <f>826</f>
        <v>826</v>
      </c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32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</row>
    <row r="168" spans="1:105" ht="13" customHeight="1">
      <c r="A168" s="24" t="s">
        <v>25</v>
      </c>
      <c r="B168" s="24" t="s">
        <v>165</v>
      </c>
      <c r="C168" s="26"/>
      <c r="D168" s="39" t="s">
        <v>166</v>
      </c>
      <c r="E168" s="25" t="s">
        <v>140</v>
      </c>
      <c r="F168" s="25"/>
      <c r="G168" s="25"/>
      <c r="H168" s="38"/>
      <c r="I168" s="198" t="s">
        <v>210</v>
      </c>
      <c r="J168" s="199" t="s">
        <v>100</v>
      </c>
      <c r="K168" s="29">
        <f>190</f>
        <v>190</v>
      </c>
      <c r="L168" s="31">
        <f>191</f>
        <v>191</v>
      </c>
      <c r="M168" s="26">
        <f>214</f>
        <v>214</v>
      </c>
      <c r="N168" s="26">
        <f>231</f>
        <v>231</v>
      </c>
      <c r="O168" s="26">
        <f>254</f>
        <v>254</v>
      </c>
      <c r="P168" s="26">
        <f>268</f>
        <v>268</v>
      </c>
      <c r="Q168" s="26">
        <f>281</f>
        <v>281</v>
      </c>
      <c r="R168" s="26">
        <f>295</f>
        <v>295</v>
      </c>
      <c r="S168" s="26">
        <f>323</f>
        <v>323</v>
      </c>
      <c r="T168" s="26">
        <f>356</f>
        <v>356</v>
      </c>
      <c r="U168" s="26">
        <f>372</f>
        <v>372</v>
      </c>
      <c r="V168" s="26">
        <f>380</f>
        <v>380</v>
      </c>
      <c r="W168" s="26"/>
      <c r="X168" s="26"/>
      <c r="Y168" s="26"/>
      <c r="Z168" s="26"/>
      <c r="AA168" s="26">
        <f>573</f>
        <v>573</v>
      </c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32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</row>
    <row r="169" spans="1:105" ht="13" customHeight="1">
      <c r="A169" s="24" t="s">
        <v>25</v>
      </c>
      <c r="B169" s="24" t="s">
        <v>165</v>
      </c>
      <c r="C169" s="26"/>
      <c r="D169" s="39" t="s">
        <v>166</v>
      </c>
      <c r="E169" s="25" t="s">
        <v>140</v>
      </c>
      <c r="F169" s="25"/>
      <c r="G169" s="25"/>
      <c r="H169" s="38"/>
      <c r="I169" s="198" t="s">
        <v>174</v>
      </c>
      <c r="J169" s="199" t="s">
        <v>100</v>
      </c>
      <c r="K169" s="29">
        <f>435</f>
        <v>435</v>
      </c>
      <c r="L169" s="31">
        <f>437</f>
        <v>437</v>
      </c>
      <c r="M169" s="26">
        <f>424</f>
        <v>424</v>
      </c>
      <c r="N169" s="26">
        <f>441</f>
        <v>441</v>
      </c>
      <c r="O169" s="26">
        <f>510</f>
        <v>510</v>
      </c>
      <c r="P169" s="26">
        <f>492</f>
        <v>492</v>
      </c>
      <c r="Q169" s="26">
        <f>493</f>
        <v>493</v>
      </c>
      <c r="R169" s="26">
        <f>490</f>
        <v>490</v>
      </c>
      <c r="S169" s="26">
        <f>483</f>
        <v>483</v>
      </c>
      <c r="T169" s="26">
        <f>476</f>
        <v>476</v>
      </c>
      <c r="U169" s="26">
        <f>472</f>
        <v>472</v>
      </c>
      <c r="V169" s="26">
        <f>480</f>
        <v>480</v>
      </c>
      <c r="W169" s="26"/>
      <c r="X169" s="26"/>
      <c r="Y169" s="26"/>
      <c r="Z169" s="26"/>
      <c r="AA169" s="26">
        <f>563</f>
        <v>563</v>
      </c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32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</row>
    <row r="170" spans="1:105" ht="13" customHeight="1">
      <c r="A170" s="24" t="s">
        <v>25</v>
      </c>
      <c r="B170" s="24" t="s">
        <v>165</v>
      </c>
      <c r="C170" s="26"/>
      <c r="D170" s="39" t="s">
        <v>166</v>
      </c>
      <c r="E170" s="25" t="s">
        <v>140</v>
      </c>
      <c r="F170" s="25"/>
      <c r="G170" s="25"/>
      <c r="H170" s="38"/>
      <c r="I170" s="198" t="s">
        <v>211</v>
      </c>
      <c r="J170" s="199" t="s">
        <v>100</v>
      </c>
      <c r="K170" s="29">
        <f>32</f>
        <v>32</v>
      </c>
      <c r="L170" s="31">
        <f>32</f>
        <v>32</v>
      </c>
      <c r="M170" s="26">
        <f>30</f>
        <v>30</v>
      </c>
      <c r="N170" s="26">
        <f>30</f>
        <v>30</v>
      </c>
      <c r="O170" s="26">
        <f>34</f>
        <v>34</v>
      </c>
      <c r="P170" s="26">
        <f>36</f>
        <v>36</v>
      </c>
      <c r="Q170" s="26">
        <f>38</f>
        <v>38</v>
      </c>
      <c r="R170" s="26">
        <f>45</f>
        <v>45</v>
      </c>
      <c r="S170" s="26">
        <f>70</f>
        <v>70</v>
      </c>
      <c r="T170" s="26">
        <f>80</f>
        <v>80</v>
      </c>
      <c r="U170" s="26">
        <f>90</f>
        <v>90</v>
      </c>
      <c r="V170" s="26">
        <f>90</f>
        <v>90</v>
      </c>
      <c r="W170" s="26"/>
      <c r="X170" s="26"/>
      <c r="Y170" s="26"/>
      <c r="Z170" s="26"/>
      <c r="AA170" s="26">
        <f>100</f>
        <v>100</v>
      </c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32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</row>
    <row r="171" spans="1:105" ht="13" customHeight="1">
      <c r="A171" s="24" t="s">
        <v>25</v>
      </c>
      <c r="B171" s="24" t="s">
        <v>165</v>
      </c>
      <c r="C171" s="26"/>
      <c r="D171" s="39" t="s">
        <v>166</v>
      </c>
      <c r="E171" s="25" t="s">
        <v>140</v>
      </c>
      <c r="F171" s="25"/>
      <c r="G171" s="25"/>
      <c r="H171" s="38"/>
      <c r="I171" s="198" t="s">
        <v>212</v>
      </c>
      <c r="J171" s="199" t="s">
        <v>100</v>
      </c>
      <c r="K171" s="29">
        <f>277</f>
        <v>277</v>
      </c>
      <c r="L171" s="31">
        <f>277</f>
        <v>277</v>
      </c>
      <c r="M171" s="26">
        <f>240</f>
        <v>240</v>
      </c>
      <c r="N171" s="26">
        <f>240</f>
        <v>240</v>
      </c>
      <c r="O171" s="26">
        <f>290</f>
        <v>290</v>
      </c>
      <c r="P171" s="26">
        <f>260</f>
        <v>260</v>
      </c>
      <c r="Q171" s="26">
        <f>250</f>
        <v>250</v>
      </c>
      <c r="R171" s="26">
        <f>240</f>
        <v>240</v>
      </c>
      <c r="S171" s="26">
        <f>230</f>
        <v>230</v>
      </c>
      <c r="T171" s="26">
        <f>200</f>
        <v>200</v>
      </c>
      <c r="U171" s="26">
        <f>190</f>
        <v>190</v>
      </c>
      <c r="V171" s="26">
        <f>190</f>
        <v>190</v>
      </c>
      <c r="W171" s="26"/>
      <c r="X171" s="26"/>
      <c r="Y171" s="26"/>
      <c r="Z171" s="26"/>
      <c r="AA171" s="26">
        <f>120</f>
        <v>120</v>
      </c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32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</row>
    <row r="172" spans="1:105" ht="13" customHeight="1">
      <c r="A172" s="24" t="s">
        <v>25</v>
      </c>
      <c r="B172" s="24" t="s">
        <v>165</v>
      </c>
      <c r="C172" s="26"/>
      <c r="D172" s="39" t="s">
        <v>166</v>
      </c>
      <c r="E172" s="25" t="s">
        <v>142</v>
      </c>
      <c r="F172" s="25"/>
      <c r="G172" s="25"/>
      <c r="H172" s="38"/>
      <c r="I172" s="198" t="s">
        <v>209</v>
      </c>
      <c r="J172" s="199" t="s">
        <v>100</v>
      </c>
      <c r="K172" s="29">
        <f>231</f>
        <v>231</v>
      </c>
      <c r="L172" s="31">
        <f>264</f>
        <v>264</v>
      </c>
      <c r="M172" s="26">
        <f>264</f>
        <v>264</v>
      </c>
      <c r="N172" s="26">
        <f>319</f>
        <v>319</v>
      </c>
      <c r="O172" s="26">
        <f>348</f>
        <v>348</v>
      </c>
      <c r="P172" s="26">
        <f>350</f>
        <v>350</v>
      </c>
      <c r="Q172" s="26">
        <f>350</f>
        <v>350</v>
      </c>
      <c r="R172" s="26">
        <f>370</f>
        <v>370</v>
      </c>
      <c r="S172" s="26">
        <f>460</f>
        <v>460</v>
      </c>
      <c r="T172" s="26">
        <f>535</f>
        <v>535</v>
      </c>
      <c r="U172" s="26">
        <f>535</f>
        <v>535</v>
      </c>
      <c r="V172" s="26">
        <f>826</f>
        <v>826</v>
      </c>
      <c r="W172" s="26"/>
      <c r="X172" s="26"/>
      <c r="Y172" s="26"/>
      <c r="Z172" s="26"/>
      <c r="AA172" s="26">
        <f>860</f>
        <v>860</v>
      </c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32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</row>
    <row r="173" spans="1:105" ht="13" customHeight="1">
      <c r="A173" s="24" t="s">
        <v>25</v>
      </c>
      <c r="B173" s="24" t="s">
        <v>165</v>
      </c>
      <c r="C173" s="26"/>
      <c r="D173" s="39" t="s">
        <v>166</v>
      </c>
      <c r="E173" s="25" t="s">
        <v>142</v>
      </c>
      <c r="F173" s="25"/>
      <c r="G173" s="25"/>
      <c r="H173" s="38"/>
      <c r="I173" s="198" t="s">
        <v>210</v>
      </c>
      <c r="J173" s="199" t="s">
        <v>100</v>
      </c>
      <c r="K173" s="29">
        <f>190</f>
        <v>190</v>
      </c>
      <c r="L173" s="31">
        <f>191</f>
        <v>191</v>
      </c>
      <c r="M173" s="26">
        <f>214</f>
        <v>214</v>
      </c>
      <c r="N173" s="26">
        <f>215</f>
        <v>215</v>
      </c>
      <c r="O173" s="26">
        <f>247</f>
        <v>247</v>
      </c>
      <c r="P173" s="26">
        <f>287</f>
        <v>287</v>
      </c>
      <c r="Q173" s="26">
        <f>330</f>
        <v>330</v>
      </c>
      <c r="R173" s="26">
        <f>350</f>
        <v>350</v>
      </c>
      <c r="S173" s="26">
        <f>390</f>
        <v>390</v>
      </c>
      <c r="T173" s="26">
        <f>450</f>
        <v>450</v>
      </c>
      <c r="U173" s="26">
        <f>470</f>
        <v>470</v>
      </c>
      <c r="V173" s="26">
        <f>480</f>
        <v>480</v>
      </c>
      <c r="W173" s="26"/>
      <c r="X173" s="26"/>
      <c r="Y173" s="26"/>
      <c r="Z173" s="26"/>
      <c r="AA173" s="26">
        <f>830</f>
        <v>830</v>
      </c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32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</row>
    <row r="174" spans="1:105" ht="13" customHeight="1">
      <c r="A174" s="24" t="s">
        <v>25</v>
      </c>
      <c r="B174" s="24" t="s">
        <v>165</v>
      </c>
      <c r="C174" s="26"/>
      <c r="D174" s="39" t="s">
        <v>166</v>
      </c>
      <c r="E174" s="25" t="s">
        <v>142</v>
      </c>
      <c r="F174" s="25"/>
      <c r="G174" s="25"/>
      <c r="H174" s="38"/>
      <c r="I174" s="198" t="s">
        <v>174</v>
      </c>
      <c r="J174" s="199" t="s">
        <v>100</v>
      </c>
      <c r="K174" s="29">
        <f>435</f>
        <v>435</v>
      </c>
      <c r="L174" s="31">
        <f>437</f>
        <v>437</v>
      </c>
      <c r="M174" s="26">
        <f>424</f>
        <v>424</v>
      </c>
      <c r="N174" s="26">
        <f>463</f>
        <v>463</v>
      </c>
      <c r="O174" s="26">
        <f>503</f>
        <v>503</v>
      </c>
      <c r="P174" s="26">
        <f>541</f>
        <v>541</v>
      </c>
      <c r="Q174" s="26">
        <f>582</f>
        <v>582</v>
      </c>
      <c r="R174" s="26">
        <f>595</f>
        <v>595</v>
      </c>
      <c r="S174" s="26">
        <f>610</f>
        <v>610</v>
      </c>
      <c r="T174" s="26">
        <f>660</f>
        <v>660</v>
      </c>
      <c r="U174" s="26">
        <f>670</f>
        <v>670</v>
      </c>
      <c r="V174" s="26">
        <f>680</f>
        <v>680</v>
      </c>
      <c r="W174" s="26"/>
      <c r="X174" s="26"/>
      <c r="Y174" s="26"/>
      <c r="Z174" s="26"/>
      <c r="AA174" s="26">
        <f>680</f>
        <v>680</v>
      </c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32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</row>
    <row r="175" spans="1:105" ht="13" customHeight="1">
      <c r="A175" s="24" t="s">
        <v>25</v>
      </c>
      <c r="B175" s="24" t="s">
        <v>165</v>
      </c>
      <c r="C175" s="26"/>
      <c r="D175" s="39" t="s">
        <v>166</v>
      </c>
      <c r="E175" s="25" t="s">
        <v>142</v>
      </c>
      <c r="F175" s="25"/>
      <c r="G175" s="25"/>
      <c r="H175" s="38"/>
      <c r="I175" s="198" t="s">
        <v>211</v>
      </c>
      <c r="J175" s="199" t="s">
        <v>100</v>
      </c>
      <c r="K175" s="29">
        <f>32</f>
        <v>32</v>
      </c>
      <c r="L175" s="31">
        <f>32</f>
        <v>32</v>
      </c>
      <c r="M175" s="26">
        <f>30</f>
        <v>30</v>
      </c>
      <c r="N175" s="26">
        <f>32</f>
        <v>32</v>
      </c>
      <c r="O175" s="26">
        <f>34</f>
        <v>34</v>
      </c>
      <c r="P175" s="26">
        <f>36</f>
        <v>36</v>
      </c>
      <c r="Q175" s="26">
        <f>38</f>
        <v>38</v>
      </c>
      <c r="R175" s="26">
        <f>45</f>
        <v>45</v>
      </c>
      <c r="S175" s="26">
        <f>70</f>
        <v>70</v>
      </c>
      <c r="T175" s="26">
        <f>80</f>
        <v>80</v>
      </c>
      <c r="U175" s="26">
        <f>90</f>
        <v>90</v>
      </c>
      <c r="V175" s="26">
        <f>90</f>
        <v>90</v>
      </c>
      <c r="W175" s="26"/>
      <c r="X175" s="26"/>
      <c r="Y175" s="26"/>
      <c r="Z175" s="26"/>
      <c r="AA175" s="26">
        <f>150</f>
        <v>150</v>
      </c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32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</row>
    <row r="176" spans="1:105" ht="13" customHeight="1">
      <c r="A176" s="24" t="s">
        <v>25</v>
      </c>
      <c r="B176" s="24" t="s">
        <v>165</v>
      </c>
      <c r="C176" s="26"/>
      <c r="D176" s="39" t="s">
        <v>166</v>
      </c>
      <c r="E176" s="25" t="s">
        <v>142</v>
      </c>
      <c r="F176" s="25"/>
      <c r="G176" s="25"/>
      <c r="H176" s="38"/>
      <c r="I176" s="200" t="s">
        <v>212</v>
      </c>
      <c r="J176" s="199" t="s">
        <v>100</v>
      </c>
      <c r="K176" s="29">
        <f>277</f>
        <v>277</v>
      </c>
      <c r="L176" s="31">
        <f>277</f>
        <v>277</v>
      </c>
      <c r="M176" s="26">
        <f>240</f>
        <v>240</v>
      </c>
      <c r="N176" s="26">
        <f>280</f>
        <v>280</v>
      </c>
      <c r="O176" s="26">
        <f t="shared" ref="O176:V176" si="7">290</f>
        <v>290</v>
      </c>
      <c r="P176" s="26">
        <f t="shared" si="7"/>
        <v>290</v>
      </c>
      <c r="Q176" s="26">
        <f t="shared" si="7"/>
        <v>290</v>
      </c>
      <c r="R176" s="26">
        <f t="shared" si="7"/>
        <v>290</v>
      </c>
      <c r="S176" s="26">
        <f t="shared" si="7"/>
        <v>290</v>
      </c>
      <c r="T176" s="26">
        <f t="shared" si="7"/>
        <v>290</v>
      </c>
      <c r="U176" s="26">
        <f t="shared" si="7"/>
        <v>290</v>
      </c>
      <c r="V176" s="26">
        <f t="shared" si="7"/>
        <v>290</v>
      </c>
      <c r="W176" s="26"/>
      <c r="X176" s="26"/>
      <c r="Y176" s="26"/>
      <c r="Z176" s="26"/>
      <c r="AA176" s="26">
        <f>145</f>
        <v>145</v>
      </c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32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</row>
    <row r="177" spans="1:105" ht="13" customHeight="1">
      <c r="A177" s="24" t="s">
        <v>25</v>
      </c>
      <c r="B177" s="24" t="s">
        <v>165</v>
      </c>
      <c r="C177" s="26"/>
      <c r="D177" s="39" t="s">
        <v>166</v>
      </c>
      <c r="E177" s="25" t="s">
        <v>140</v>
      </c>
      <c r="F177" s="25"/>
      <c r="G177" s="25"/>
      <c r="H177" s="38"/>
      <c r="I177" s="198" t="s">
        <v>213</v>
      </c>
      <c r="J177" s="199" t="s">
        <v>100</v>
      </c>
      <c r="K177" s="29">
        <f>1977</f>
        <v>1977</v>
      </c>
      <c r="L177" s="31">
        <f>2027</f>
        <v>2027</v>
      </c>
      <c r="M177" s="26">
        <f>2057</f>
        <v>2057</v>
      </c>
      <c r="N177" s="26">
        <f>2287</f>
        <v>2287</v>
      </c>
      <c r="O177" s="26">
        <f>2300</f>
        <v>2300</v>
      </c>
      <c r="P177" s="26">
        <f>2320</f>
        <v>2320</v>
      </c>
      <c r="Q177" s="26">
        <f>2400</f>
        <v>2400</v>
      </c>
      <c r="R177" s="26">
        <f>2450</f>
        <v>2450</v>
      </c>
      <c r="S177" s="26">
        <f>2550</f>
        <v>2550</v>
      </c>
      <c r="T177" s="26">
        <f>2700</f>
        <v>2700</v>
      </c>
      <c r="U177" s="26">
        <f>2760</f>
        <v>2760</v>
      </c>
      <c r="V177" s="26">
        <f>2900</f>
        <v>2900</v>
      </c>
      <c r="W177" s="26"/>
      <c r="X177" s="26"/>
      <c r="Y177" s="26"/>
      <c r="Z177" s="26"/>
      <c r="AA177" s="26">
        <f>3200</f>
        <v>3200</v>
      </c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32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</row>
    <row r="178" spans="1:105" ht="13" customHeight="1">
      <c r="A178" s="24" t="s">
        <v>25</v>
      </c>
      <c r="B178" s="24" t="s">
        <v>165</v>
      </c>
      <c r="C178" s="26"/>
      <c r="D178" s="39" t="s">
        <v>166</v>
      </c>
      <c r="E178" s="25" t="s">
        <v>140</v>
      </c>
      <c r="F178" s="25"/>
      <c r="G178" s="25"/>
      <c r="H178" s="38"/>
      <c r="I178" s="198" t="s">
        <v>122</v>
      </c>
      <c r="J178" s="199" t="s">
        <v>100</v>
      </c>
      <c r="K178" s="29">
        <f>1516</f>
        <v>1516</v>
      </c>
      <c r="L178" s="31">
        <v>1615</v>
      </c>
      <c r="M178" s="26">
        <f>1814</f>
        <v>1814</v>
      </c>
      <c r="N178" s="26">
        <f>1910</f>
        <v>1910</v>
      </c>
      <c r="O178" s="26">
        <f>1967</f>
        <v>1967</v>
      </c>
      <c r="P178" s="26">
        <f>2020</f>
        <v>2020</v>
      </c>
      <c r="Q178" s="26">
        <f>2044</f>
        <v>2044</v>
      </c>
      <c r="R178" s="26">
        <f>2090</f>
        <v>2090</v>
      </c>
      <c r="S178" s="26">
        <f>2160</f>
        <v>2160</v>
      </c>
      <c r="T178" s="26">
        <f>2242</f>
        <v>2242</v>
      </c>
      <c r="U178" s="26">
        <f>2324</f>
        <v>2324</v>
      </c>
      <c r="V178" s="26">
        <f>2394</f>
        <v>2394</v>
      </c>
      <c r="W178" s="26"/>
      <c r="X178" s="26"/>
      <c r="Y178" s="26"/>
      <c r="Z178" s="26"/>
      <c r="AA178" s="26">
        <f>2569</f>
        <v>2569</v>
      </c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32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</row>
    <row r="179" spans="1:105" ht="13" customHeight="1">
      <c r="A179" s="24" t="s">
        <v>25</v>
      </c>
      <c r="B179" s="24" t="s">
        <v>165</v>
      </c>
      <c r="C179" s="26"/>
      <c r="D179" s="39" t="s">
        <v>166</v>
      </c>
      <c r="E179" s="25" t="s">
        <v>140</v>
      </c>
      <c r="F179" s="25"/>
      <c r="G179" s="25"/>
      <c r="H179" s="38"/>
      <c r="I179" s="198" t="s">
        <v>176</v>
      </c>
      <c r="J179" s="199" t="s">
        <v>100</v>
      </c>
      <c r="K179" s="29">
        <f>1752</f>
        <v>1752</v>
      </c>
      <c r="L179" s="31">
        <f>1786</f>
        <v>1786</v>
      </c>
      <c r="M179" s="26">
        <f>2002</f>
        <v>2002</v>
      </c>
      <c r="N179" s="26">
        <f>2112</f>
        <v>2112</v>
      </c>
      <c r="O179" s="26">
        <f>2197</f>
        <v>2197</v>
      </c>
      <c r="P179" s="26">
        <f>2240</f>
        <v>2240</v>
      </c>
      <c r="Q179" s="26">
        <f>2264</f>
        <v>2264</v>
      </c>
      <c r="R179" s="26">
        <f>2290</f>
        <v>2290</v>
      </c>
      <c r="S179" s="26">
        <f>2340</f>
        <v>2340</v>
      </c>
      <c r="T179" s="26">
        <f>2392</f>
        <v>2392</v>
      </c>
      <c r="U179" s="26">
        <f>2444</f>
        <v>2444</v>
      </c>
      <c r="V179" s="26">
        <f>2484</f>
        <v>2484</v>
      </c>
      <c r="W179" s="26"/>
      <c r="X179" s="26"/>
      <c r="Y179" s="26"/>
      <c r="Z179" s="26"/>
      <c r="AA179" s="26">
        <f>2579</f>
        <v>2579</v>
      </c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32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</row>
    <row r="180" spans="1:105" ht="13" customHeight="1">
      <c r="A180" s="24" t="s">
        <v>25</v>
      </c>
      <c r="B180" s="24" t="s">
        <v>165</v>
      </c>
      <c r="C180" s="26"/>
      <c r="D180" s="39" t="s">
        <v>166</v>
      </c>
      <c r="E180" s="25" t="s">
        <v>140</v>
      </c>
      <c r="F180" s="25"/>
      <c r="G180" s="25"/>
      <c r="H180" s="38"/>
      <c r="I180" s="200" t="s">
        <v>214</v>
      </c>
      <c r="J180" s="199" t="s">
        <v>100</v>
      </c>
      <c r="K180" s="29">
        <f>249</f>
        <v>249</v>
      </c>
      <c r="L180" s="31">
        <f>286</f>
        <v>286</v>
      </c>
      <c r="M180" s="26">
        <f>272</f>
        <v>272</v>
      </c>
      <c r="N180" s="26">
        <f>258</f>
        <v>258</v>
      </c>
      <c r="O180" s="26">
        <f>270</f>
        <v>270</v>
      </c>
      <c r="P180" s="26">
        <f>280</f>
        <v>280</v>
      </c>
      <c r="Q180" s="26">
        <f>290</f>
        <v>290</v>
      </c>
      <c r="R180" s="26">
        <f>300</f>
        <v>300</v>
      </c>
      <c r="S180" s="26">
        <f>300</f>
        <v>300</v>
      </c>
      <c r="T180" s="26">
        <f>310</f>
        <v>310</v>
      </c>
      <c r="U180" s="26">
        <f>320</f>
        <v>320</v>
      </c>
      <c r="V180" s="26">
        <f>330</f>
        <v>330</v>
      </c>
      <c r="W180" s="26"/>
      <c r="X180" s="26"/>
      <c r="Y180" s="26"/>
      <c r="Z180" s="26"/>
      <c r="AA180" s="26">
        <f>350</f>
        <v>350</v>
      </c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32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</row>
    <row r="181" spans="1:105" ht="13" customHeight="1">
      <c r="A181" s="24" t="s">
        <v>25</v>
      </c>
      <c r="B181" s="24" t="s">
        <v>165</v>
      </c>
      <c r="C181" s="26"/>
      <c r="D181" s="39" t="s">
        <v>166</v>
      </c>
      <c r="E181" s="25" t="s">
        <v>140</v>
      </c>
      <c r="F181" s="25"/>
      <c r="G181" s="25"/>
      <c r="H181" s="38"/>
      <c r="I181" s="200" t="s">
        <v>215</v>
      </c>
      <c r="J181" s="199" t="s">
        <v>100</v>
      </c>
      <c r="K181" s="29">
        <f>485</f>
        <v>485</v>
      </c>
      <c r="L181" s="31">
        <f>457</f>
        <v>457</v>
      </c>
      <c r="M181" s="26">
        <f>460</f>
        <v>460</v>
      </c>
      <c r="N181" s="26">
        <f>460</f>
        <v>460</v>
      </c>
      <c r="O181" s="26">
        <f>500</f>
        <v>500</v>
      </c>
      <c r="P181" s="26">
        <f>500</f>
        <v>500</v>
      </c>
      <c r="Q181" s="26">
        <f>510</f>
        <v>510</v>
      </c>
      <c r="R181" s="26">
        <f>500</f>
        <v>500</v>
      </c>
      <c r="S181" s="26">
        <f>480</f>
        <v>480</v>
      </c>
      <c r="T181" s="26">
        <f>460</f>
        <v>460</v>
      </c>
      <c r="U181" s="26">
        <f>440</f>
        <v>440</v>
      </c>
      <c r="V181" s="26">
        <f>420</f>
        <v>420</v>
      </c>
      <c r="W181" s="26"/>
      <c r="X181" s="26"/>
      <c r="Y181" s="26"/>
      <c r="Z181" s="26"/>
      <c r="AA181" s="26">
        <f>360</f>
        <v>360</v>
      </c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32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</row>
    <row r="182" spans="1:105" ht="13" customHeight="1">
      <c r="A182" s="24" t="s">
        <v>25</v>
      </c>
      <c r="B182" s="24" t="s">
        <v>165</v>
      </c>
      <c r="C182" s="26"/>
      <c r="D182" s="39" t="s">
        <v>166</v>
      </c>
      <c r="E182" s="25" t="s">
        <v>142</v>
      </c>
      <c r="F182" s="25"/>
      <c r="G182" s="25"/>
      <c r="H182" s="38"/>
      <c r="I182" s="198" t="s">
        <v>216</v>
      </c>
      <c r="J182" s="199" t="s">
        <v>100</v>
      </c>
      <c r="K182" s="29">
        <f>1977</f>
        <v>1977</v>
      </c>
      <c r="L182" s="31">
        <f>2027</f>
        <v>2027</v>
      </c>
      <c r="M182" s="26">
        <f>2287</f>
        <v>2287</v>
      </c>
      <c r="N182" s="26">
        <f>2300</f>
        <v>2300</v>
      </c>
      <c r="O182" s="26">
        <f>2320</f>
        <v>2320</v>
      </c>
      <c r="P182" s="26">
        <f>2400</f>
        <v>2400</v>
      </c>
      <c r="Q182" s="26">
        <f>2680</f>
        <v>2680</v>
      </c>
      <c r="R182" s="26">
        <f>2680</f>
        <v>2680</v>
      </c>
      <c r="S182" s="26">
        <f>2780</f>
        <v>2780</v>
      </c>
      <c r="T182" s="26">
        <f>2950</f>
        <v>2950</v>
      </c>
      <c r="U182" s="26">
        <f>3100</f>
        <v>3100</v>
      </c>
      <c r="V182" s="26">
        <f>3250</f>
        <v>3250</v>
      </c>
      <c r="W182" s="26"/>
      <c r="X182" s="26"/>
      <c r="Y182" s="26"/>
      <c r="Z182" s="26"/>
      <c r="AA182" s="26">
        <f>3500</f>
        <v>3500</v>
      </c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32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</row>
    <row r="183" spans="1:105" ht="13" customHeight="1">
      <c r="A183" s="24" t="s">
        <v>25</v>
      </c>
      <c r="B183" s="24" t="s">
        <v>165</v>
      </c>
      <c r="C183" s="26"/>
      <c r="D183" s="39" t="s">
        <v>166</v>
      </c>
      <c r="E183" s="25" t="s">
        <v>142</v>
      </c>
      <c r="F183" s="25"/>
      <c r="G183" s="25"/>
      <c r="H183" s="38"/>
      <c r="I183" s="198" t="s">
        <v>122</v>
      </c>
      <c r="J183" s="199" t="s">
        <v>100</v>
      </c>
      <c r="K183" s="29">
        <f>1516</f>
        <v>1516</v>
      </c>
      <c r="L183" s="31">
        <f>1615</f>
        <v>1615</v>
      </c>
      <c r="M183" s="26">
        <f>1814</f>
        <v>1814</v>
      </c>
      <c r="N183" s="26">
        <f>1972</f>
        <v>1972</v>
      </c>
      <c r="O183" s="26">
        <f>2033</f>
        <v>2033</v>
      </c>
      <c r="P183" s="26">
        <f>2093</f>
        <v>2093</v>
      </c>
      <c r="Q183" s="26">
        <f>2117</f>
        <v>2117</v>
      </c>
      <c r="R183" s="26">
        <f>2166</f>
        <v>2166</v>
      </c>
      <c r="S183" s="26">
        <f>2238</f>
        <v>2238</v>
      </c>
      <c r="T183" s="26">
        <f>2323</f>
        <v>2323</v>
      </c>
      <c r="U183" s="26">
        <f>2361</f>
        <v>2361</v>
      </c>
      <c r="V183" s="26">
        <f>2428</f>
        <v>2428</v>
      </c>
      <c r="W183" s="26"/>
      <c r="X183" s="26"/>
      <c r="Y183" s="26"/>
      <c r="Z183" s="26"/>
      <c r="AA183" s="26">
        <f>3100</f>
        <v>3100</v>
      </c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32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</row>
    <row r="184" spans="1:105" ht="13" customHeight="1">
      <c r="A184" s="24" t="s">
        <v>25</v>
      </c>
      <c r="B184" s="24" t="s">
        <v>165</v>
      </c>
      <c r="C184" s="26"/>
      <c r="D184" s="39" t="s">
        <v>166</v>
      </c>
      <c r="E184" s="25" t="s">
        <v>142</v>
      </c>
      <c r="F184" s="25"/>
      <c r="G184" s="25"/>
      <c r="H184" s="38"/>
      <c r="I184" s="198" t="s">
        <v>176</v>
      </c>
      <c r="J184" s="199" t="s">
        <v>100</v>
      </c>
      <c r="K184" s="29">
        <f>1752</f>
        <v>1752</v>
      </c>
      <c r="L184" s="31">
        <f>1786</f>
        <v>1786</v>
      </c>
      <c r="M184" s="26">
        <f>2002</f>
        <v>2002</v>
      </c>
      <c r="N184" s="26">
        <f>2187</f>
        <v>2187</v>
      </c>
      <c r="O184" s="26">
        <f>2263</f>
        <v>2263</v>
      </c>
      <c r="P184" s="26">
        <f>2313</f>
        <v>2313</v>
      </c>
      <c r="Q184" s="26">
        <f>2337</f>
        <v>2337</v>
      </c>
      <c r="R184" s="26">
        <f>2366</f>
        <v>2366</v>
      </c>
      <c r="S184" s="26">
        <f>2418</f>
        <v>2418</v>
      </c>
      <c r="T184" s="26">
        <f>2473</f>
        <v>2473</v>
      </c>
      <c r="U184" s="26">
        <f>2481</f>
        <v>2481</v>
      </c>
      <c r="V184" s="26">
        <f>2518</f>
        <v>2518</v>
      </c>
      <c r="W184" s="26"/>
      <c r="X184" s="26"/>
      <c r="Y184" s="26"/>
      <c r="Z184" s="26"/>
      <c r="AA184" s="26">
        <f>2800</f>
        <v>2800</v>
      </c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32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</row>
    <row r="185" spans="1:105" ht="13" customHeight="1">
      <c r="A185" s="24" t="s">
        <v>25</v>
      </c>
      <c r="B185" s="24" t="s">
        <v>165</v>
      </c>
      <c r="C185" s="26"/>
      <c r="D185" s="39" t="s">
        <v>166</v>
      </c>
      <c r="E185" s="25" t="s">
        <v>142</v>
      </c>
      <c r="F185" s="25"/>
      <c r="G185" s="25"/>
      <c r="H185" s="38"/>
      <c r="I185" s="200" t="s">
        <v>214</v>
      </c>
      <c r="J185" s="199" t="s">
        <v>100</v>
      </c>
      <c r="K185" s="29">
        <f>249</f>
        <v>249</v>
      </c>
      <c r="L185" s="31">
        <f>286</f>
        <v>286</v>
      </c>
      <c r="M185" s="26">
        <f>272</f>
        <v>272</v>
      </c>
      <c r="N185" s="26">
        <f>270</f>
        <v>270</v>
      </c>
      <c r="O185" s="26">
        <f>270</f>
        <v>270</v>
      </c>
      <c r="P185" s="26">
        <f>280</f>
        <v>280</v>
      </c>
      <c r="Q185" s="26">
        <f>290</f>
        <v>290</v>
      </c>
      <c r="R185" s="26">
        <f>300</f>
        <v>300</v>
      </c>
      <c r="S185" s="26">
        <f>300</f>
        <v>300</v>
      </c>
      <c r="T185" s="26">
        <f>310</f>
        <v>310</v>
      </c>
      <c r="U185" s="26">
        <f>320</f>
        <v>320</v>
      </c>
      <c r="V185" s="26">
        <f>330</f>
        <v>330</v>
      </c>
      <c r="W185" s="26"/>
      <c r="X185" s="26"/>
      <c r="Y185" s="26"/>
      <c r="Z185" s="26"/>
      <c r="AA185" s="26">
        <v>550</v>
      </c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32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</row>
    <row r="186" spans="1:105" ht="13" customHeight="1">
      <c r="A186" s="24" t="s">
        <v>25</v>
      </c>
      <c r="B186" s="24" t="s">
        <v>165</v>
      </c>
      <c r="C186" s="26"/>
      <c r="D186" s="39" t="s">
        <v>166</v>
      </c>
      <c r="E186" s="25" t="s">
        <v>142</v>
      </c>
      <c r="F186" s="25"/>
      <c r="G186" s="25"/>
      <c r="H186" s="38"/>
      <c r="I186" s="200" t="s">
        <v>215</v>
      </c>
      <c r="J186" s="199" t="s">
        <v>100</v>
      </c>
      <c r="K186" s="29">
        <f>485</f>
        <v>485</v>
      </c>
      <c r="L186" s="31">
        <f>457</f>
        <v>457</v>
      </c>
      <c r="M186" s="26">
        <f>460</f>
        <v>460</v>
      </c>
      <c r="N186" s="26">
        <f>485</f>
        <v>485</v>
      </c>
      <c r="O186" s="26">
        <f>500</f>
        <v>500</v>
      </c>
      <c r="P186" s="26">
        <f>500</f>
        <v>500</v>
      </c>
      <c r="Q186" s="26">
        <f>510</f>
        <v>510</v>
      </c>
      <c r="R186" s="26">
        <f>500</f>
        <v>500</v>
      </c>
      <c r="S186" s="26">
        <f>480</f>
        <v>480</v>
      </c>
      <c r="T186" s="26">
        <f>460</f>
        <v>460</v>
      </c>
      <c r="U186" s="26">
        <f>440</f>
        <v>440</v>
      </c>
      <c r="V186" s="26">
        <f>420</f>
        <v>420</v>
      </c>
      <c r="W186" s="26"/>
      <c r="X186" s="26"/>
      <c r="Y186" s="26"/>
      <c r="Z186" s="26"/>
      <c r="AA186" s="26">
        <f>250</f>
        <v>250</v>
      </c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32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</row>
    <row r="187" spans="1:105" ht="13" customHeight="1">
      <c r="A187" s="24" t="s">
        <v>25</v>
      </c>
      <c r="B187" s="24" t="s">
        <v>165</v>
      </c>
      <c r="C187" s="26"/>
      <c r="D187" s="39" t="s">
        <v>166</v>
      </c>
      <c r="E187" s="25" t="s">
        <v>140</v>
      </c>
      <c r="F187" s="25"/>
      <c r="G187" s="25"/>
      <c r="H187" s="38"/>
      <c r="I187" s="198" t="s">
        <v>217</v>
      </c>
      <c r="J187" s="199" t="s">
        <v>100</v>
      </c>
      <c r="K187" s="29">
        <f>1477</f>
        <v>1477</v>
      </c>
      <c r="L187" s="31">
        <f>1478</f>
        <v>1478</v>
      </c>
      <c r="M187" s="26">
        <f>1478</f>
        <v>1478</v>
      </c>
      <c r="N187" s="26">
        <f>1508</f>
        <v>1508</v>
      </c>
      <c r="O187" s="26">
        <f>1508</f>
        <v>1508</v>
      </c>
      <c r="P187" s="26">
        <f>1508</f>
        <v>1508</v>
      </c>
      <c r="Q187" s="26">
        <f>1508</f>
        <v>1508</v>
      </c>
      <c r="R187" s="26">
        <f>1938</f>
        <v>1938</v>
      </c>
      <c r="S187" s="26">
        <f>1938</f>
        <v>1938</v>
      </c>
      <c r="T187" s="26">
        <f>1938</f>
        <v>1938</v>
      </c>
      <c r="U187" s="26">
        <f>1938</f>
        <v>1938</v>
      </c>
      <c r="V187" s="26">
        <f>1938</f>
        <v>1938</v>
      </c>
      <c r="W187" s="26"/>
      <c r="X187" s="26"/>
      <c r="Y187" s="26"/>
      <c r="Z187" s="26"/>
      <c r="AA187" s="26">
        <f>1938</f>
        <v>1938</v>
      </c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32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</row>
    <row r="188" spans="1:105" ht="13" customHeight="1">
      <c r="A188" s="24" t="s">
        <v>25</v>
      </c>
      <c r="B188" s="24" t="s">
        <v>165</v>
      </c>
      <c r="C188" s="26"/>
      <c r="D188" s="39" t="s">
        <v>166</v>
      </c>
      <c r="E188" s="25" t="s">
        <v>140</v>
      </c>
      <c r="F188" s="25"/>
      <c r="G188" s="25"/>
      <c r="H188" s="38"/>
      <c r="I188" s="200" t="s">
        <v>121</v>
      </c>
      <c r="J188" s="199" t="s">
        <v>100</v>
      </c>
      <c r="K188" s="29">
        <f>1291</f>
        <v>1291</v>
      </c>
      <c r="L188" s="31">
        <f>1276</f>
        <v>1276</v>
      </c>
      <c r="M188" s="26">
        <f>1285</f>
        <v>1285</v>
      </c>
      <c r="N188" s="26">
        <f>1290</f>
        <v>1290</v>
      </c>
      <c r="O188" s="26">
        <f>1295</f>
        <v>1295</v>
      </c>
      <c r="P188" s="26">
        <f>1300</f>
        <v>1300</v>
      </c>
      <c r="Q188" s="26">
        <f>1305</f>
        <v>1305</v>
      </c>
      <c r="R188" s="26">
        <f>1310</f>
        <v>1310</v>
      </c>
      <c r="S188" s="26">
        <f>1315</f>
        <v>1315</v>
      </c>
      <c r="T188" s="26">
        <f>1320</f>
        <v>1320</v>
      </c>
      <c r="U188" s="26">
        <f>1330</f>
        <v>1330</v>
      </c>
      <c r="V188" s="26">
        <f>1340</f>
        <v>1340</v>
      </c>
      <c r="W188" s="26"/>
      <c r="X188" s="26"/>
      <c r="Y188" s="26"/>
      <c r="Z188" s="26"/>
      <c r="AA188" s="26">
        <f>1500</f>
        <v>1500</v>
      </c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32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</row>
    <row r="189" spans="1:105" ht="13" customHeight="1">
      <c r="A189" s="24" t="s">
        <v>25</v>
      </c>
      <c r="B189" s="24" t="s">
        <v>165</v>
      </c>
      <c r="C189" s="26"/>
      <c r="D189" s="39" t="s">
        <v>166</v>
      </c>
      <c r="E189" s="25" t="s">
        <v>140</v>
      </c>
      <c r="F189" s="25"/>
      <c r="G189" s="25"/>
      <c r="H189" s="38"/>
      <c r="I189" s="200" t="s">
        <v>218</v>
      </c>
      <c r="J189" s="199" t="s">
        <v>100</v>
      </c>
      <c r="K189" s="29">
        <f>1068</f>
        <v>1068</v>
      </c>
      <c r="L189" s="31">
        <f>1048</f>
        <v>1048</v>
      </c>
      <c r="M189" s="26">
        <f>1058</f>
        <v>1058</v>
      </c>
      <c r="N189" s="26">
        <f>1065</f>
        <v>1065</v>
      </c>
      <c r="O189" s="26">
        <f>1072</f>
        <v>1072</v>
      </c>
      <c r="P189" s="26">
        <f>1077</f>
        <v>1077</v>
      </c>
      <c r="Q189" s="26">
        <f>1082</f>
        <v>1082</v>
      </c>
      <c r="R189" s="26">
        <f>1087</f>
        <v>1087</v>
      </c>
      <c r="S189" s="26">
        <f>1092</f>
        <v>1092</v>
      </c>
      <c r="T189" s="26">
        <f>1097</f>
        <v>1097</v>
      </c>
      <c r="U189" s="26">
        <f>1106</f>
        <v>1106</v>
      </c>
      <c r="V189" s="26">
        <f>1115</f>
        <v>1115</v>
      </c>
      <c r="W189" s="26"/>
      <c r="X189" s="26"/>
      <c r="Y189" s="26"/>
      <c r="Z189" s="26"/>
      <c r="AA189" s="26">
        <f>1261</f>
        <v>1261</v>
      </c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32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</row>
    <row r="190" spans="1:105" ht="13" customHeight="1">
      <c r="A190" s="24" t="s">
        <v>25</v>
      </c>
      <c r="B190" s="24" t="s">
        <v>165</v>
      </c>
      <c r="C190" s="26"/>
      <c r="D190" s="39" t="s">
        <v>166</v>
      </c>
      <c r="E190" s="25" t="s">
        <v>140</v>
      </c>
      <c r="F190" s="25"/>
      <c r="G190" s="25"/>
      <c r="H190" s="38"/>
      <c r="I190" s="200" t="s">
        <v>219</v>
      </c>
      <c r="J190" s="199" t="s">
        <v>100</v>
      </c>
      <c r="K190" s="29">
        <f>224</f>
        <v>224</v>
      </c>
      <c r="L190" s="31">
        <f>229</f>
        <v>229</v>
      </c>
      <c r="M190" s="26">
        <f>229</f>
        <v>229</v>
      </c>
      <c r="N190" s="26">
        <f>226</f>
        <v>226</v>
      </c>
      <c r="O190" s="26">
        <f t="shared" ref="O190:T190" si="8">224</f>
        <v>224</v>
      </c>
      <c r="P190" s="26">
        <f t="shared" si="8"/>
        <v>224</v>
      </c>
      <c r="Q190" s="26">
        <f t="shared" si="8"/>
        <v>224</v>
      </c>
      <c r="R190" s="26">
        <f t="shared" si="8"/>
        <v>224</v>
      </c>
      <c r="S190" s="26">
        <f t="shared" si="8"/>
        <v>224</v>
      </c>
      <c r="T190" s="26">
        <f t="shared" si="8"/>
        <v>224</v>
      </c>
      <c r="U190" s="26">
        <f>225</f>
        <v>225</v>
      </c>
      <c r="V190" s="26">
        <f>226</f>
        <v>226</v>
      </c>
      <c r="W190" s="26"/>
      <c r="X190" s="26"/>
      <c r="Y190" s="26"/>
      <c r="Z190" s="26"/>
      <c r="AA190" s="26">
        <f>240</f>
        <v>240</v>
      </c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53"/>
      <c r="AR190" s="53"/>
      <c r="AS190" s="53"/>
      <c r="AT190" s="53"/>
      <c r="AU190" s="53"/>
      <c r="AV190" s="53"/>
      <c r="AW190" s="53"/>
      <c r="AX190" s="53"/>
      <c r="AY190" s="53"/>
      <c r="AZ190" s="54"/>
    </row>
    <row r="191" spans="1:105" ht="13" customHeight="1">
      <c r="A191" s="24" t="s">
        <v>25</v>
      </c>
      <c r="B191" s="24" t="s">
        <v>165</v>
      </c>
      <c r="C191" s="26"/>
      <c r="D191" s="39" t="s">
        <v>166</v>
      </c>
      <c r="E191" s="25" t="s">
        <v>140</v>
      </c>
      <c r="F191" s="25"/>
      <c r="G191" s="25"/>
      <c r="H191" s="38"/>
      <c r="I191" s="200" t="s">
        <v>220</v>
      </c>
      <c r="J191" s="199" t="s">
        <v>100</v>
      </c>
      <c r="K191" s="29">
        <f>2</f>
        <v>2</v>
      </c>
      <c r="L191" s="31">
        <f>1</f>
        <v>1</v>
      </c>
      <c r="M191" s="26">
        <f>2</f>
        <v>2</v>
      </c>
      <c r="N191" s="26">
        <f t="shared" ref="N191:V191" si="9">1</f>
        <v>1</v>
      </c>
      <c r="O191" s="26">
        <f t="shared" si="9"/>
        <v>1</v>
      </c>
      <c r="P191" s="26">
        <f t="shared" si="9"/>
        <v>1</v>
      </c>
      <c r="Q191" s="26">
        <f t="shared" si="9"/>
        <v>1</v>
      </c>
      <c r="R191" s="26">
        <f t="shared" si="9"/>
        <v>1</v>
      </c>
      <c r="S191" s="26">
        <f t="shared" si="9"/>
        <v>1</v>
      </c>
      <c r="T191" s="26">
        <f t="shared" si="9"/>
        <v>1</v>
      </c>
      <c r="U191" s="26">
        <f t="shared" si="9"/>
        <v>1</v>
      </c>
      <c r="V191" s="26">
        <f t="shared" si="9"/>
        <v>1</v>
      </c>
      <c r="W191" s="26"/>
      <c r="X191" s="26"/>
      <c r="Y191" s="26"/>
      <c r="Z191" s="26"/>
      <c r="AA191" s="26">
        <f>1</f>
        <v>1</v>
      </c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53"/>
      <c r="AR191" s="53"/>
      <c r="AS191" s="53"/>
      <c r="AT191" s="53"/>
      <c r="AU191" s="53"/>
      <c r="AV191" s="53"/>
      <c r="AW191" s="53"/>
      <c r="AX191" s="53"/>
      <c r="AY191" s="53"/>
      <c r="AZ191" s="54"/>
    </row>
    <row r="192" spans="1:105" ht="13" customHeight="1">
      <c r="A192" s="24" t="s">
        <v>25</v>
      </c>
      <c r="B192" s="24" t="s">
        <v>165</v>
      </c>
      <c r="C192" s="26"/>
      <c r="D192" s="39" t="s">
        <v>166</v>
      </c>
      <c r="E192" s="25" t="s">
        <v>142</v>
      </c>
      <c r="F192" s="25"/>
      <c r="G192" s="25"/>
      <c r="H192" s="38"/>
      <c r="I192" s="198" t="s">
        <v>217</v>
      </c>
      <c r="J192" s="199" t="s">
        <v>100</v>
      </c>
      <c r="K192" s="29">
        <f>1477</f>
        <v>1477</v>
      </c>
      <c r="L192" s="31">
        <f>1478</f>
        <v>1478</v>
      </c>
      <c r="M192" s="26">
        <f>1478</f>
        <v>1478</v>
      </c>
      <c r="N192" s="26">
        <f>1508</f>
        <v>1508</v>
      </c>
      <c r="O192" s="26">
        <f>1508</f>
        <v>1508</v>
      </c>
      <c r="P192" s="26">
        <f t="shared" ref="P192:U192" si="10">1938</f>
        <v>1938</v>
      </c>
      <c r="Q192" s="26">
        <f t="shared" si="10"/>
        <v>1938</v>
      </c>
      <c r="R192" s="26">
        <f t="shared" si="10"/>
        <v>1938</v>
      </c>
      <c r="S192" s="26">
        <f t="shared" si="10"/>
        <v>1938</v>
      </c>
      <c r="T192" s="26">
        <f t="shared" si="10"/>
        <v>1938</v>
      </c>
      <c r="U192" s="26">
        <f t="shared" si="10"/>
        <v>1938</v>
      </c>
      <c r="V192" s="26">
        <f>2168</f>
        <v>2168</v>
      </c>
      <c r="W192" s="26"/>
      <c r="X192" s="26"/>
      <c r="Y192" s="26"/>
      <c r="Z192" s="26"/>
      <c r="AA192" s="26">
        <f>2168</f>
        <v>2168</v>
      </c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53"/>
      <c r="AR192" s="53"/>
      <c r="AS192" s="53"/>
      <c r="AT192" s="53"/>
      <c r="AU192" s="53"/>
      <c r="AV192" s="53"/>
      <c r="AW192" s="53"/>
      <c r="AX192" s="53"/>
      <c r="AY192" s="53"/>
      <c r="AZ192" s="54"/>
    </row>
    <row r="193" spans="1:52" ht="13" customHeight="1">
      <c r="A193" s="24" t="s">
        <v>25</v>
      </c>
      <c r="B193" s="24" t="s">
        <v>165</v>
      </c>
      <c r="C193" s="26"/>
      <c r="D193" s="39" t="s">
        <v>166</v>
      </c>
      <c r="E193" s="25" t="s">
        <v>142</v>
      </c>
      <c r="F193" s="25"/>
      <c r="G193" s="25"/>
      <c r="H193" s="38"/>
      <c r="I193" s="200" t="s">
        <v>121</v>
      </c>
      <c r="J193" s="199" t="s">
        <v>100</v>
      </c>
      <c r="K193" s="29">
        <f>1291</f>
        <v>1291</v>
      </c>
      <c r="L193" s="31">
        <f>1276</f>
        <v>1276</v>
      </c>
      <c r="M193" s="26">
        <f>1285</f>
        <v>1285</v>
      </c>
      <c r="N193" s="26">
        <f>1335</f>
        <v>1335</v>
      </c>
      <c r="O193" s="26">
        <f>1375</f>
        <v>1375</v>
      </c>
      <c r="P193" s="26">
        <f>1420</f>
        <v>1420</v>
      </c>
      <c r="Q193" s="26">
        <f>1470</f>
        <v>1470</v>
      </c>
      <c r="R193" s="26">
        <f>1520</f>
        <v>1520</v>
      </c>
      <c r="S193" s="26">
        <f>1570</f>
        <v>1570</v>
      </c>
      <c r="T193" s="26">
        <f>1620</f>
        <v>1620</v>
      </c>
      <c r="U193" s="26">
        <f>1670</f>
        <v>1670</v>
      </c>
      <c r="V193" s="26">
        <f>1725</f>
        <v>1725</v>
      </c>
      <c r="W193" s="26"/>
      <c r="X193" s="26"/>
      <c r="Y193" s="26"/>
      <c r="Z193" s="26"/>
      <c r="AA193" s="26">
        <f>2100</f>
        <v>2100</v>
      </c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53"/>
      <c r="AR193" s="53"/>
      <c r="AS193" s="53"/>
      <c r="AT193" s="53"/>
      <c r="AU193" s="53"/>
      <c r="AV193" s="53"/>
      <c r="AW193" s="53"/>
      <c r="AX193" s="53"/>
      <c r="AY193" s="53"/>
      <c r="AZ193" s="54"/>
    </row>
    <row r="194" spans="1:52" ht="13" customHeight="1">
      <c r="A194" s="24" t="s">
        <v>25</v>
      </c>
      <c r="B194" s="24" t="s">
        <v>165</v>
      </c>
      <c r="C194" s="26"/>
      <c r="D194" s="39" t="s">
        <v>166</v>
      </c>
      <c r="E194" s="25" t="s">
        <v>142</v>
      </c>
      <c r="F194" s="25"/>
      <c r="G194" s="25"/>
      <c r="H194" s="38"/>
      <c r="I194" s="200" t="s">
        <v>218</v>
      </c>
      <c r="J194" s="199" t="s">
        <v>100</v>
      </c>
      <c r="K194" s="29">
        <f>1068</f>
        <v>1068</v>
      </c>
      <c r="L194" s="31">
        <f>1048</f>
        <v>1048</v>
      </c>
      <c r="M194" s="26">
        <f>1058</f>
        <v>1058</v>
      </c>
      <c r="N194" s="26">
        <f>1102</f>
        <v>1102</v>
      </c>
      <c r="O194" s="26">
        <f>1136</f>
        <v>1136</v>
      </c>
      <c r="P194" s="26">
        <f>1171</f>
        <v>1171</v>
      </c>
      <c r="Q194" s="26">
        <f>1210</f>
        <v>1210</v>
      </c>
      <c r="R194" s="26">
        <f>1249</f>
        <v>1249</v>
      </c>
      <c r="S194" s="26">
        <f>1289</f>
        <v>1289</v>
      </c>
      <c r="T194" s="26">
        <f>1329</f>
        <v>1329</v>
      </c>
      <c r="U194" s="26">
        <f>1370</f>
        <v>1370</v>
      </c>
      <c r="V194" s="26">
        <f>1415</f>
        <v>1415</v>
      </c>
      <c r="W194" s="26"/>
      <c r="X194" s="26"/>
      <c r="Y194" s="26"/>
      <c r="Z194" s="26"/>
      <c r="AA194" s="26">
        <f>1701</f>
        <v>1701</v>
      </c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53"/>
      <c r="AR194" s="53"/>
      <c r="AS194" s="53"/>
      <c r="AT194" s="53"/>
      <c r="AU194" s="53"/>
      <c r="AV194" s="53"/>
      <c r="AW194" s="53"/>
      <c r="AX194" s="53"/>
      <c r="AY194" s="53"/>
      <c r="AZ194" s="54"/>
    </row>
    <row r="195" spans="1:52" ht="13" customHeight="1">
      <c r="A195" s="24" t="s">
        <v>25</v>
      </c>
      <c r="B195" s="24" t="s">
        <v>165</v>
      </c>
      <c r="C195" s="26"/>
      <c r="D195" s="39" t="s">
        <v>166</v>
      </c>
      <c r="E195" s="25" t="s">
        <v>142</v>
      </c>
      <c r="F195" s="25"/>
      <c r="G195" s="25"/>
      <c r="H195" s="38"/>
      <c r="I195" s="200" t="s">
        <v>219</v>
      </c>
      <c r="J195" s="199" t="s">
        <v>100</v>
      </c>
      <c r="K195" s="29">
        <f>224</f>
        <v>224</v>
      </c>
      <c r="L195" s="31">
        <f>229</f>
        <v>229</v>
      </c>
      <c r="M195" s="26">
        <f>229</f>
        <v>229</v>
      </c>
      <c r="N195" s="26">
        <f>235</f>
        <v>235</v>
      </c>
      <c r="O195" s="26">
        <f>241</f>
        <v>241</v>
      </c>
      <c r="P195" s="26">
        <f>250</f>
        <v>250</v>
      </c>
      <c r="Q195" s="26">
        <f>261</f>
        <v>261</v>
      </c>
      <c r="R195" s="26">
        <f>272</f>
        <v>272</v>
      </c>
      <c r="S195" s="26">
        <f>282</f>
        <v>282</v>
      </c>
      <c r="T195" s="26">
        <f>292</f>
        <v>292</v>
      </c>
      <c r="U195" s="26">
        <f>301</f>
        <v>301</v>
      </c>
      <c r="V195" s="26">
        <f>311</f>
        <v>311</v>
      </c>
      <c r="W195" s="26"/>
      <c r="X195" s="26"/>
      <c r="Y195" s="26"/>
      <c r="Z195" s="26"/>
      <c r="AA195" s="26">
        <f>400</f>
        <v>400</v>
      </c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53"/>
      <c r="AR195" s="53"/>
      <c r="AS195" s="53"/>
      <c r="AT195" s="53"/>
      <c r="AU195" s="53"/>
      <c r="AV195" s="53"/>
      <c r="AW195" s="53"/>
      <c r="AX195" s="53"/>
      <c r="AY195" s="53"/>
      <c r="AZ195" s="54"/>
    </row>
    <row r="196" spans="1:52" ht="13" customHeight="1">
      <c r="A196" s="24" t="s">
        <v>25</v>
      </c>
      <c r="B196" s="24" t="s">
        <v>165</v>
      </c>
      <c r="C196" s="26"/>
      <c r="D196" s="39" t="s">
        <v>166</v>
      </c>
      <c r="E196" s="25" t="s">
        <v>142</v>
      </c>
      <c r="F196" s="25"/>
      <c r="G196" s="25"/>
      <c r="H196" s="38"/>
      <c r="I196" s="200" t="s">
        <v>220</v>
      </c>
      <c r="J196" s="199" t="s">
        <v>100</v>
      </c>
      <c r="K196" s="29">
        <f>2</f>
        <v>2</v>
      </c>
      <c r="L196" s="31">
        <f>1</f>
        <v>1</v>
      </c>
      <c r="M196" s="26">
        <f>2</f>
        <v>2</v>
      </c>
      <c r="N196" s="26">
        <f>2</f>
        <v>2</v>
      </c>
      <c r="O196" s="26">
        <f>2</f>
        <v>2</v>
      </c>
      <c r="P196" s="26">
        <f t="shared" ref="P196:V196" si="11">1</f>
        <v>1</v>
      </c>
      <c r="Q196" s="26">
        <f t="shared" si="11"/>
        <v>1</v>
      </c>
      <c r="R196" s="26">
        <f t="shared" si="11"/>
        <v>1</v>
      </c>
      <c r="S196" s="26">
        <f t="shared" si="11"/>
        <v>1</v>
      </c>
      <c r="T196" s="26">
        <f t="shared" si="11"/>
        <v>1</v>
      </c>
      <c r="U196" s="26">
        <f t="shared" si="11"/>
        <v>1</v>
      </c>
      <c r="V196" s="26">
        <f t="shared" si="11"/>
        <v>1</v>
      </c>
      <c r="W196" s="26"/>
      <c r="X196" s="26"/>
      <c r="Y196" s="26"/>
      <c r="Z196" s="26"/>
      <c r="AA196" s="26">
        <f>1</f>
        <v>1</v>
      </c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53"/>
      <c r="AR196" s="53"/>
      <c r="AS196" s="53"/>
      <c r="AT196" s="53"/>
      <c r="AU196" s="53"/>
      <c r="AV196" s="53"/>
      <c r="AW196" s="53"/>
      <c r="AX196" s="53"/>
      <c r="AY196" s="53"/>
      <c r="AZ196" s="54"/>
    </row>
    <row r="197" spans="1:52" ht="13" customHeight="1">
      <c r="A197" s="24" t="s">
        <v>25</v>
      </c>
      <c r="B197" s="24" t="s">
        <v>165</v>
      </c>
      <c r="C197" s="26"/>
      <c r="D197" s="39" t="s">
        <v>166</v>
      </c>
      <c r="E197" s="25" t="s">
        <v>140</v>
      </c>
      <c r="F197" s="25"/>
      <c r="G197" s="25"/>
      <c r="H197" s="38"/>
      <c r="I197" s="198" t="s">
        <v>221</v>
      </c>
      <c r="J197" s="199" t="s">
        <v>100</v>
      </c>
      <c r="K197" s="29">
        <f>3852</f>
        <v>3852</v>
      </c>
      <c r="L197" s="31">
        <f>3957</f>
        <v>3957</v>
      </c>
      <c r="M197" s="26">
        <f t="shared" ref="M197:V197" si="12">4077</f>
        <v>4077</v>
      </c>
      <c r="N197" s="26">
        <f t="shared" si="12"/>
        <v>4077</v>
      </c>
      <c r="O197" s="26">
        <f t="shared" si="12"/>
        <v>4077</v>
      </c>
      <c r="P197" s="26">
        <f t="shared" si="12"/>
        <v>4077</v>
      </c>
      <c r="Q197" s="26">
        <f t="shared" si="12"/>
        <v>4077</v>
      </c>
      <c r="R197" s="26">
        <f t="shared" si="12"/>
        <v>4077</v>
      </c>
      <c r="S197" s="26">
        <f t="shared" si="12"/>
        <v>4077</v>
      </c>
      <c r="T197" s="26">
        <f t="shared" si="12"/>
        <v>4077</v>
      </c>
      <c r="U197" s="26">
        <f t="shared" si="12"/>
        <v>4077</v>
      </c>
      <c r="V197" s="26">
        <f t="shared" si="12"/>
        <v>4077</v>
      </c>
      <c r="W197" s="26"/>
      <c r="X197" s="26"/>
      <c r="Y197" s="26"/>
      <c r="Z197" s="26"/>
      <c r="AA197" s="26">
        <f>4077</f>
        <v>4077</v>
      </c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53"/>
      <c r="AR197" s="53"/>
      <c r="AS197" s="53"/>
      <c r="AT197" s="53"/>
      <c r="AU197" s="53"/>
      <c r="AV197" s="53"/>
      <c r="AW197" s="53"/>
      <c r="AX197" s="53"/>
      <c r="AY197" s="53"/>
      <c r="AZ197" s="54"/>
    </row>
    <row r="198" spans="1:52" ht="13" customHeight="1">
      <c r="A198" s="24" t="s">
        <v>25</v>
      </c>
      <c r="B198" s="24" t="s">
        <v>165</v>
      </c>
      <c r="C198" s="26"/>
      <c r="D198" s="39" t="s">
        <v>166</v>
      </c>
      <c r="E198" s="25" t="s">
        <v>140</v>
      </c>
      <c r="F198" s="25"/>
      <c r="G198" s="25"/>
      <c r="H198" s="38"/>
      <c r="I198" s="198" t="s">
        <v>120</v>
      </c>
      <c r="J198" s="199" t="s">
        <v>100</v>
      </c>
      <c r="K198" s="29">
        <f>3402</f>
        <v>3402</v>
      </c>
      <c r="L198" s="31">
        <f>3320</f>
        <v>3320</v>
      </c>
      <c r="M198" s="26">
        <f>3350</f>
        <v>3350</v>
      </c>
      <c r="N198" s="26">
        <f>3420</f>
        <v>3420</v>
      </c>
      <c r="O198" s="26">
        <f>3460</f>
        <v>3460</v>
      </c>
      <c r="P198" s="26">
        <f>3520</f>
        <v>3520</v>
      </c>
      <c r="Q198" s="26">
        <f>3580</f>
        <v>3580</v>
      </c>
      <c r="R198" s="26">
        <f>3640</f>
        <v>3640</v>
      </c>
      <c r="S198" s="26">
        <f>3705</f>
        <v>3705</v>
      </c>
      <c r="T198" s="26">
        <f>3770</f>
        <v>3770</v>
      </c>
      <c r="U198" s="26">
        <f>3840</f>
        <v>3840</v>
      </c>
      <c r="V198" s="26">
        <f>3910</f>
        <v>3910</v>
      </c>
      <c r="W198" s="26"/>
      <c r="X198" s="26"/>
      <c r="Y198" s="26"/>
      <c r="Z198" s="26"/>
      <c r="AA198" s="26">
        <f>4077</f>
        <v>4077</v>
      </c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53"/>
      <c r="AR198" s="53"/>
      <c r="AS198" s="53"/>
      <c r="AT198" s="53"/>
      <c r="AU198" s="53"/>
      <c r="AV198" s="53"/>
      <c r="AW198" s="53"/>
      <c r="AX198" s="53"/>
      <c r="AY198" s="53"/>
      <c r="AZ198" s="54"/>
    </row>
    <row r="199" spans="1:52" ht="13" customHeight="1">
      <c r="A199" s="24" t="s">
        <v>25</v>
      </c>
      <c r="B199" s="24" t="s">
        <v>165</v>
      </c>
      <c r="C199" s="26"/>
      <c r="D199" s="39" t="s">
        <v>166</v>
      </c>
      <c r="E199" s="25" t="s">
        <v>140</v>
      </c>
      <c r="F199" s="25"/>
      <c r="G199" s="25"/>
      <c r="H199" s="38"/>
      <c r="I199" s="198" t="s">
        <v>222</v>
      </c>
      <c r="J199" s="199" t="s">
        <v>100</v>
      </c>
      <c r="K199" s="29">
        <f>2710</f>
        <v>2710</v>
      </c>
      <c r="L199" s="31">
        <f>2613</f>
        <v>2613</v>
      </c>
      <c r="M199" s="26">
        <f>2645</f>
        <v>2645</v>
      </c>
      <c r="N199" s="26">
        <f>2715</f>
        <v>2715</v>
      </c>
      <c r="O199" s="26">
        <f>2750</f>
        <v>2750</v>
      </c>
      <c r="P199" s="26">
        <f>2795</f>
        <v>2795</v>
      </c>
      <c r="Q199" s="26">
        <f>2845</f>
        <v>2845</v>
      </c>
      <c r="R199" s="26">
        <f>2895</f>
        <v>2895</v>
      </c>
      <c r="S199" s="26">
        <f>2950</f>
        <v>2950</v>
      </c>
      <c r="T199" s="26">
        <f>3005</f>
        <v>3005</v>
      </c>
      <c r="U199" s="26">
        <f>3075</f>
        <v>3075</v>
      </c>
      <c r="V199" s="26">
        <f>3142</f>
        <v>3142</v>
      </c>
      <c r="W199" s="26"/>
      <c r="X199" s="26"/>
      <c r="Y199" s="26"/>
      <c r="Z199" s="26"/>
      <c r="AA199" s="26">
        <f>3159</f>
        <v>3159</v>
      </c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53"/>
      <c r="AR199" s="53"/>
      <c r="AS199" s="53"/>
      <c r="AT199" s="53"/>
      <c r="AU199" s="53"/>
      <c r="AV199" s="53"/>
      <c r="AW199" s="53"/>
      <c r="AX199" s="53"/>
      <c r="AY199" s="53"/>
      <c r="AZ199" s="54"/>
    </row>
    <row r="200" spans="1:52" ht="13" customHeight="1">
      <c r="A200" s="24" t="s">
        <v>25</v>
      </c>
      <c r="B200" s="24" t="s">
        <v>165</v>
      </c>
      <c r="C200" s="26"/>
      <c r="D200" s="39" t="s">
        <v>166</v>
      </c>
      <c r="E200" s="25" t="s">
        <v>140</v>
      </c>
      <c r="F200" s="25"/>
      <c r="G200" s="25"/>
      <c r="H200" s="38"/>
      <c r="I200" s="200" t="s">
        <v>223</v>
      </c>
      <c r="J200" s="199" t="s">
        <v>100</v>
      </c>
      <c r="K200" s="29">
        <f>698</f>
        <v>698</v>
      </c>
      <c r="L200" s="31">
        <f>732</f>
        <v>732</v>
      </c>
      <c r="M200" s="26">
        <f>740</f>
        <v>740</v>
      </c>
      <c r="N200" s="26">
        <f>745</f>
        <v>745</v>
      </c>
      <c r="O200" s="26">
        <f>750</f>
        <v>750</v>
      </c>
      <c r="P200" s="26">
        <f>760</f>
        <v>760</v>
      </c>
      <c r="Q200" s="26">
        <f>770</f>
        <v>770</v>
      </c>
      <c r="R200" s="26">
        <f>780</f>
        <v>780</v>
      </c>
      <c r="S200" s="26">
        <f>790</f>
        <v>790</v>
      </c>
      <c r="T200" s="26">
        <f>800</f>
        <v>800</v>
      </c>
      <c r="U200" s="26">
        <f>800</f>
        <v>800</v>
      </c>
      <c r="V200" s="26">
        <f>800</f>
        <v>800</v>
      </c>
      <c r="W200" s="26"/>
      <c r="X200" s="26"/>
      <c r="Y200" s="26"/>
      <c r="Z200" s="26"/>
      <c r="AA200" s="26">
        <f>950</f>
        <v>950</v>
      </c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53"/>
      <c r="AR200" s="53"/>
      <c r="AS200" s="53"/>
      <c r="AT200" s="53"/>
      <c r="AU200" s="53"/>
      <c r="AV200" s="53"/>
      <c r="AW200" s="53"/>
      <c r="AX200" s="53"/>
      <c r="AY200" s="53"/>
      <c r="AZ200" s="54"/>
    </row>
    <row r="201" spans="1:52" ht="13" customHeight="1">
      <c r="A201" s="24" t="s">
        <v>25</v>
      </c>
      <c r="B201" s="24" t="s">
        <v>165</v>
      </c>
      <c r="C201" s="26"/>
      <c r="D201" s="39" t="s">
        <v>166</v>
      </c>
      <c r="E201" s="25" t="s">
        <v>140</v>
      </c>
      <c r="F201" s="25"/>
      <c r="G201" s="25"/>
      <c r="H201" s="38"/>
      <c r="I201" s="200" t="s">
        <v>224</v>
      </c>
      <c r="J201" s="199" t="s">
        <v>100</v>
      </c>
      <c r="K201" s="29">
        <f>6</f>
        <v>6</v>
      </c>
      <c r="L201" s="31">
        <f>25</f>
        <v>25</v>
      </c>
      <c r="M201" s="26">
        <f>35</f>
        <v>35</v>
      </c>
      <c r="N201" s="26">
        <f>40</f>
        <v>40</v>
      </c>
      <c r="O201" s="26">
        <f>40</f>
        <v>40</v>
      </c>
      <c r="P201" s="26">
        <f t="shared" ref="P201:U201" si="13">35</f>
        <v>35</v>
      </c>
      <c r="Q201" s="26">
        <f t="shared" si="13"/>
        <v>35</v>
      </c>
      <c r="R201" s="26">
        <f t="shared" si="13"/>
        <v>35</v>
      </c>
      <c r="S201" s="26">
        <f t="shared" si="13"/>
        <v>35</v>
      </c>
      <c r="T201" s="26">
        <f t="shared" si="13"/>
        <v>35</v>
      </c>
      <c r="U201" s="26">
        <f t="shared" si="13"/>
        <v>35</v>
      </c>
      <c r="V201" s="26">
        <f>32</f>
        <v>32</v>
      </c>
      <c r="W201" s="26"/>
      <c r="X201" s="26"/>
      <c r="Y201" s="26"/>
      <c r="Z201" s="26"/>
      <c r="AA201" s="26">
        <f>32</f>
        <v>32</v>
      </c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53"/>
      <c r="AR201" s="53"/>
      <c r="AS201" s="53"/>
      <c r="AT201" s="53"/>
      <c r="AU201" s="53"/>
      <c r="AV201" s="53"/>
      <c r="AW201" s="53"/>
      <c r="AX201" s="53"/>
      <c r="AY201" s="53"/>
      <c r="AZ201" s="54"/>
    </row>
    <row r="202" spans="1:52" ht="13" customHeight="1">
      <c r="A202" s="24" t="s">
        <v>25</v>
      </c>
      <c r="B202" s="24" t="s">
        <v>165</v>
      </c>
      <c r="C202" s="26"/>
      <c r="D202" s="39" t="s">
        <v>166</v>
      </c>
      <c r="E202" s="25" t="s">
        <v>142</v>
      </c>
      <c r="F202" s="25"/>
      <c r="G202" s="25"/>
      <c r="H202" s="38"/>
      <c r="I202" s="198" t="s">
        <v>221</v>
      </c>
      <c r="J202" s="199" t="s">
        <v>100</v>
      </c>
      <c r="K202" s="29">
        <f>3852</f>
        <v>3852</v>
      </c>
      <c r="L202" s="31">
        <f>3957</f>
        <v>3957</v>
      </c>
      <c r="M202" s="26">
        <f>4077</f>
        <v>4077</v>
      </c>
      <c r="N202" s="26">
        <f>4077</f>
        <v>4077</v>
      </c>
      <c r="O202" s="26">
        <f>4077</f>
        <v>4077</v>
      </c>
      <c r="P202" s="26">
        <f>4077</f>
        <v>4077</v>
      </c>
      <c r="Q202" s="26">
        <f t="shared" ref="Q202:V202" si="14">4677</f>
        <v>4677</v>
      </c>
      <c r="R202" s="26">
        <f t="shared" si="14"/>
        <v>4677</v>
      </c>
      <c r="S202" s="26">
        <f t="shared" si="14"/>
        <v>4677</v>
      </c>
      <c r="T202" s="26">
        <f t="shared" si="14"/>
        <v>4677</v>
      </c>
      <c r="U202" s="26">
        <f t="shared" si="14"/>
        <v>4677</v>
      </c>
      <c r="V202" s="26">
        <f t="shared" si="14"/>
        <v>4677</v>
      </c>
      <c r="W202" s="26"/>
      <c r="X202" s="26"/>
      <c r="Y202" s="26"/>
      <c r="Z202" s="26"/>
      <c r="AA202" s="26">
        <f>4677</f>
        <v>4677</v>
      </c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53"/>
      <c r="AR202" s="53"/>
      <c r="AS202" s="53"/>
      <c r="AT202" s="53"/>
      <c r="AU202" s="53"/>
      <c r="AV202" s="53"/>
      <c r="AW202" s="53"/>
      <c r="AX202" s="53"/>
      <c r="AY202" s="53"/>
      <c r="AZ202" s="54"/>
    </row>
    <row r="203" spans="1:52" ht="13" customHeight="1">
      <c r="A203" s="24" t="s">
        <v>25</v>
      </c>
      <c r="B203" s="24" t="s">
        <v>165</v>
      </c>
      <c r="C203" s="26"/>
      <c r="D203" s="39" t="s">
        <v>166</v>
      </c>
      <c r="E203" s="25" t="s">
        <v>142</v>
      </c>
      <c r="F203" s="25"/>
      <c r="G203" s="25"/>
      <c r="H203" s="38"/>
      <c r="I203" s="198" t="s">
        <v>120</v>
      </c>
      <c r="J203" s="199" t="s">
        <v>100</v>
      </c>
      <c r="K203" s="29">
        <f>3402</f>
        <v>3402</v>
      </c>
      <c r="L203" s="31">
        <f>3320</f>
        <v>3320</v>
      </c>
      <c r="M203" s="26">
        <f>3350</f>
        <v>3350</v>
      </c>
      <c r="N203" s="26">
        <f>3449</f>
        <v>3449</v>
      </c>
      <c r="O203" s="26">
        <f>3578</f>
        <v>3578</v>
      </c>
      <c r="P203" s="26">
        <f>3667</f>
        <v>3667</v>
      </c>
      <c r="Q203" s="26">
        <f>3752</f>
        <v>3752</v>
      </c>
      <c r="R203" s="26">
        <f>3831</f>
        <v>3831</v>
      </c>
      <c r="S203" s="26">
        <f>3927</f>
        <v>3927</v>
      </c>
      <c r="T203" s="26">
        <f>4026</f>
        <v>4026</v>
      </c>
      <c r="U203" s="26">
        <f>4135</f>
        <v>4135</v>
      </c>
      <c r="V203" s="26">
        <f>4259</f>
        <v>4259</v>
      </c>
      <c r="W203" s="26"/>
      <c r="X203" s="26"/>
      <c r="Y203" s="26"/>
      <c r="Z203" s="26"/>
      <c r="AA203" s="26">
        <f>4600</f>
        <v>4600</v>
      </c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53"/>
      <c r="AR203" s="53"/>
      <c r="AS203" s="53"/>
      <c r="AT203" s="53"/>
      <c r="AU203" s="53"/>
      <c r="AV203" s="53"/>
      <c r="AW203" s="53"/>
      <c r="AX203" s="53"/>
      <c r="AY203" s="53"/>
      <c r="AZ203" s="54"/>
    </row>
    <row r="204" spans="1:52" ht="13" customHeight="1">
      <c r="A204" s="24" t="s">
        <v>25</v>
      </c>
      <c r="B204" s="24" t="s">
        <v>165</v>
      </c>
      <c r="C204" s="26"/>
      <c r="D204" s="39" t="s">
        <v>166</v>
      </c>
      <c r="E204" s="25" t="s">
        <v>142</v>
      </c>
      <c r="F204" s="25"/>
      <c r="G204" s="25"/>
      <c r="H204" s="38"/>
      <c r="I204" s="198" t="s">
        <v>222</v>
      </c>
      <c r="J204" s="199" t="s">
        <v>100</v>
      </c>
      <c r="K204" s="29">
        <f>2710</f>
        <v>2710</v>
      </c>
      <c r="L204" s="31">
        <f>2613</f>
        <v>2613</v>
      </c>
      <c r="M204" s="26">
        <f>2645</f>
        <v>2645</v>
      </c>
      <c r="N204" s="26">
        <f>2274</f>
        <v>2274</v>
      </c>
      <c r="O204" s="26">
        <f>2803</f>
        <v>2803</v>
      </c>
      <c r="P204" s="26">
        <f>2852</f>
        <v>2852</v>
      </c>
      <c r="Q204" s="26">
        <f>2904</f>
        <v>2904</v>
      </c>
      <c r="R204" s="26">
        <f>2956</f>
        <v>2956</v>
      </c>
      <c r="S204" s="26">
        <f>3030</f>
        <v>3030</v>
      </c>
      <c r="T204" s="26">
        <f>3108</f>
        <v>3108</v>
      </c>
      <c r="U204" s="26">
        <f>3195</f>
        <v>3195</v>
      </c>
      <c r="V204" s="26">
        <f>3293</f>
        <v>3293</v>
      </c>
      <c r="W204" s="26"/>
      <c r="X204" s="26"/>
      <c r="Y204" s="26"/>
      <c r="Z204" s="26"/>
      <c r="AA204" s="26">
        <f>3502</f>
        <v>3502</v>
      </c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53"/>
      <c r="AR204" s="53"/>
      <c r="AS204" s="53"/>
      <c r="AT204" s="53"/>
      <c r="AU204" s="53"/>
      <c r="AV204" s="53"/>
      <c r="AW204" s="53"/>
      <c r="AX204" s="53"/>
      <c r="AY204" s="53"/>
      <c r="AZ204" s="54"/>
    </row>
    <row r="205" spans="1:52" ht="13" customHeight="1">
      <c r="A205" s="24" t="s">
        <v>25</v>
      </c>
      <c r="B205" s="24" t="s">
        <v>165</v>
      </c>
      <c r="C205" s="26"/>
      <c r="D205" s="39" t="s">
        <v>166</v>
      </c>
      <c r="E205" s="25" t="s">
        <v>142</v>
      </c>
      <c r="F205" s="25"/>
      <c r="G205" s="25"/>
      <c r="H205" s="38"/>
      <c r="I205" s="200" t="s">
        <v>223</v>
      </c>
      <c r="J205" s="199" t="s">
        <v>100</v>
      </c>
      <c r="K205" s="29">
        <f>698</f>
        <v>698</v>
      </c>
      <c r="L205" s="31">
        <f>732</f>
        <v>732</v>
      </c>
      <c r="M205" s="26">
        <f>740</f>
        <v>740</v>
      </c>
      <c r="N205" s="26">
        <f>760</f>
        <v>760</v>
      </c>
      <c r="O205" s="26">
        <f>800</f>
        <v>800</v>
      </c>
      <c r="P205" s="26">
        <f>840</f>
        <v>840</v>
      </c>
      <c r="Q205" s="26">
        <f>873</f>
        <v>873</v>
      </c>
      <c r="R205" s="26">
        <f>900</f>
        <v>900</v>
      </c>
      <c r="S205" s="26">
        <f>922</f>
        <v>922</v>
      </c>
      <c r="T205" s="26">
        <f>943</f>
        <v>943</v>
      </c>
      <c r="U205" s="26">
        <f>965</f>
        <v>965</v>
      </c>
      <c r="V205" s="26">
        <f>986</f>
        <v>986</v>
      </c>
      <c r="W205" s="26"/>
      <c r="X205" s="26"/>
      <c r="Y205" s="26"/>
      <c r="Z205" s="26"/>
      <c r="AA205" s="26">
        <f>1100</f>
        <v>1100</v>
      </c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53"/>
      <c r="AR205" s="53"/>
      <c r="AS205" s="53"/>
      <c r="AT205" s="53"/>
      <c r="AU205" s="53"/>
      <c r="AV205" s="53"/>
      <c r="AW205" s="53"/>
      <c r="AX205" s="53"/>
      <c r="AY205" s="53"/>
      <c r="AZ205" s="54"/>
    </row>
    <row r="206" spans="1:52" ht="13" customHeight="1">
      <c r="A206" s="24" t="s">
        <v>25</v>
      </c>
      <c r="B206" s="24" t="s">
        <v>165</v>
      </c>
      <c r="C206" s="26"/>
      <c r="D206" s="39" t="s">
        <v>166</v>
      </c>
      <c r="E206" s="25" t="s">
        <v>142</v>
      </c>
      <c r="F206" s="25"/>
      <c r="G206" s="25"/>
      <c r="H206" s="38"/>
      <c r="I206" s="200" t="s">
        <v>224</v>
      </c>
      <c r="J206" s="199" t="s">
        <v>100</v>
      </c>
      <c r="K206" s="29">
        <f>6</f>
        <v>6</v>
      </c>
      <c r="L206" s="31">
        <f>25</f>
        <v>25</v>
      </c>
      <c r="M206" s="26">
        <f>35</f>
        <v>35</v>
      </c>
      <c r="N206" s="26">
        <f>35</f>
        <v>35</v>
      </c>
      <c r="O206" s="26">
        <f t="shared" ref="O206:U206" si="15">25</f>
        <v>25</v>
      </c>
      <c r="P206" s="26">
        <f t="shared" si="15"/>
        <v>25</v>
      </c>
      <c r="Q206" s="26">
        <f t="shared" si="15"/>
        <v>25</v>
      </c>
      <c r="R206" s="26">
        <f t="shared" si="15"/>
        <v>25</v>
      </c>
      <c r="S206" s="26">
        <f t="shared" si="15"/>
        <v>25</v>
      </c>
      <c r="T206" s="26">
        <f t="shared" si="15"/>
        <v>25</v>
      </c>
      <c r="U206" s="26">
        <f t="shared" si="15"/>
        <v>25</v>
      </c>
      <c r="V206" s="26">
        <f>20</f>
        <v>20</v>
      </c>
      <c r="W206" s="26"/>
      <c r="X206" s="26"/>
      <c r="Y206" s="26"/>
      <c r="Z206" s="26"/>
      <c r="AA206" s="26">
        <f>2</f>
        <v>2</v>
      </c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53"/>
      <c r="AR206" s="53"/>
      <c r="AS206" s="53"/>
      <c r="AT206" s="53"/>
      <c r="AU206" s="53"/>
      <c r="AV206" s="53"/>
      <c r="AW206" s="53"/>
      <c r="AX206" s="53"/>
      <c r="AY206" s="53"/>
      <c r="AZ206" s="54"/>
    </row>
    <row r="207" spans="1:52" ht="13" customHeight="1">
      <c r="A207" s="24" t="s">
        <v>25</v>
      </c>
      <c r="B207" s="24" t="s">
        <v>165</v>
      </c>
      <c r="C207" s="26"/>
      <c r="D207" s="39" t="s">
        <v>166</v>
      </c>
      <c r="E207" s="25" t="s">
        <v>140</v>
      </c>
      <c r="F207" s="25"/>
      <c r="G207" s="25"/>
      <c r="H207" s="38"/>
      <c r="I207" s="204" t="s">
        <v>225</v>
      </c>
      <c r="J207" s="199" t="s">
        <v>226</v>
      </c>
      <c r="K207" s="29">
        <f>83288</f>
        <v>83288</v>
      </c>
      <c r="L207" s="31">
        <f>82661</f>
        <v>82661</v>
      </c>
      <c r="M207" s="26">
        <f>83247</f>
        <v>83247</v>
      </c>
      <c r="N207" s="26">
        <f>82735</f>
        <v>82735</v>
      </c>
      <c r="O207" s="26">
        <f>83045</f>
        <v>83045</v>
      </c>
      <c r="P207" s="26">
        <f>83355</f>
        <v>83355</v>
      </c>
      <c r="Q207" s="26">
        <f>83637</f>
        <v>83637</v>
      </c>
      <c r="R207" s="26">
        <f>83793</f>
        <v>83793</v>
      </c>
      <c r="S207" s="26">
        <f>83968</f>
        <v>83968</v>
      </c>
      <c r="T207" s="26">
        <f>84193</f>
        <v>84193</v>
      </c>
      <c r="U207" s="26">
        <f>84443</f>
        <v>84443</v>
      </c>
      <c r="V207" s="26">
        <f>84813</f>
        <v>84813</v>
      </c>
      <c r="W207" s="26"/>
      <c r="X207" s="26"/>
      <c r="Y207" s="26"/>
      <c r="Z207" s="26"/>
      <c r="AA207" s="26">
        <f>85143</f>
        <v>85143</v>
      </c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53"/>
      <c r="AR207" s="53"/>
      <c r="AS207" s="53"/>
      <c r="AT207" s="53"/>
      <c r="AU207" s="53"/>
      <c r="AV207" s="53"/>
      <c r="AW207" s="53"/>
      <c r="AX207" s="53"/>
      <c r="AY207" s="53"/>
      <c r="AZ207" s="54"/>
    </row>
    <row r="208" spans="1:52" ht="13" customHeight="1">
      <c r="A208" s="24" t="s">
        <v>25</v>
      </c>
      <c r="B208" s="24" t="s">
        <v>165</v>
      </c>
      <c r="C208" s="26"/>
      <c r="D208" s="39" t="s">
        <v>166</v>
      </c>
      <c r="E208" s="25" t="s">
        <v>140</v>
      </c>
      <c r="F208" s="25"/>
      <c r="G208" s="25"/>
      <c r="H208" s="38"/>
      <c r="I208" s="198" t="s">
        <v>227</v>
      </c>
      <c r="J208" s="199" t="s">
        <v>226</v>
      </c>
      <c r="K208" s="29">
        <f>60450</f>
        <v>60450</v>
      </c>
      <c r="L208" s="31">
        <f>54886</f>
        <v>54886</v>
      </c>
      <c r="M208" s="26">
        <f>63564</f>
        <v>63564</v>
      </c>
      <c r="N208" s="26">
        <f>63564</f>
        <v>63564</v>
      </c>
      <c r="O208" s="26">
        <f>64098</f>
        <v>64098</v>
      </c>
      <c r="P208" s="26">
        <f>65121</f>
        <v>65121</v>
      </c>
      <c r="Q208" s="26">
        <f>66216</f>
        <v>66216</v>
      </c>
      <c r="R208" s="26">
        <f>67616</f>
        <v>67616</v>
      </c>
      <c r="S208" s="26">
        <f>68800</f>
        <v>68800</v>
      </c>
      <c r="T208" s="26">
        <f>70150</f>
        <v>70150</v>
      </c>
      <c r="U208" s="26">
        <f>71500</f>
        <v>71500</v>
      </c>
      <c r="V208" s="26">
        <f>72850</f>
        <v>72850</v>
      </c>
      <c r="W208" s="26"/>
      <c r="X208" s="26"/>
      <c r="Y208" s="26"/>
      <c r="Z208" s="26"/>
      <c r="AA208" s="26">
        <f>74954</f>
        <v>74954</v>
      </c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53"/>
      <c r="AR208" s="53"/>
      <c r="AS208" s="53"/>
      <c r="AT208" s="53"/>
      <c r="AU208" s="53"/>
      <c r="AV208" s="53"/>
      <c r="AW208" s="53"/>
      <c r="AX208" s="53"/>
      <c r="AY208" s="53"/>
      <c r="AZ208" s="54"/>
    </row>
    <row r="209" spans="1:52" ht="13" customHeight="1">
      <c r="A209" s="24" t="s">
        <v>25</v>
      </c>
      <c r="B209" s="24" t="s">
        <v>165</v>
      </c>
      <c r="C209" s="26"/>
      <c r="D209" s="39" t="s">
        <v>166</v>
      </c>
      <c r="E209" s="25" t="s">
        <v>140</v>
      </c>
      <c r="F209" s="25"/>
      <c r="G209" s="25"/>
      <c r="H209" s="38"/>
      <c r="I209" s="198" t="s">
        <v>228</v>
      </c>
      <c r="J209" s="199" t="s">
        <v>226</v>
      </c>
      <c r="K209" s="29">
        <f>72465</f>
        <v>72465</v>
      </c>
      <c r="L209" s="31">
        <f>59361</f>
        <v>59361</v>
      </c>
      <c r="M209" s="26">
        <f>72464</f>
        <v>72464</v>
      </c>
      <c r="N209" s="26">
        <f>72464</f>
        <v>72464</v>
      </c>
      <c r="O209" s="26">
        <f>73998</f>
        <v>73998</v>
      </c>
      <c r="P209" s="26">
        <f>75621</f>
        <v>75621</v>
      </c>
      <c r="Q209" s="26">
        <f>77166</f>
        <v>77166</v>
      </c>
      <c r="R209" s="26">
        <f>78716</f>
        <v>78716</v>
      </c>
      <c r="S209" s="26">
        <f>80300</f>
        <v>80300</v>
      </c>
      <c r="T209" s="26">
        <f>81750</f>
        <v>81750</v>
      </c>
      <c r="U209" s="26">
        <v>83100</v>
      </c>
      <c r="V209" s="26">
        <f>84750</f>
        <v>84750</v>
      </c>
      <c r="W209" s="26"/>
      <c r="X209" s="26"/>
      <c r="Y209" s="26"/>
      <c r="Z209" s="26"/>
      <c r="AA209" s="26">
        <f>91530</f>
        <v>91530</v>
      </c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53"/>
      <c r="AR209" s="53"/>
      <c r="AS209" s="53"/>
      <c r="AT209" s="53"/>
      <c r="AU209" s="53"/>
      <c r="AV209" s="53"/>
      <c r="AW209" s="53"/>
      <c r="AX209" s="53"/>
      <c r="AY209" s="53"/>
      <c r="AZ209" s="54"/>
    </row>
    <row r="210" spans="1:52" ht="13" customHeight="1">
      <c r="A210" s="24" t="s">
        <v>25</v>
      </c>
      <c r="B210" s="24" t="s">
        <v>165</v>
      </c>
      <c r="C210" s="26"/>
      <c r="D210" s="39" t="s">
        <v>166</v>
      </c>
      <c r="E210" s="25" t="s">
        <v>140</v>
      </c>
      <c r="F210" s="25"/>
      <c r="G210" s="25"/>
      <c r="H210" s="38"/>
      <c r="I210" s="198" t="s">
        <v>229</v>
      </c>
      <c r="J210" s="199" t="s">
        <v>226</v>
      </c>
      <c r="K210" s="29">
        <f>22416</f>
        <v>22416</v>
      </c>
      <c r="L210" s="31">
        <f>22835</f>
        <v>22835</v>
      </c>
      <c r="M210" s="26">
        <f>20300</f>
        <v>20300</v>
      </c>
      <c r="N210" s="26">
        <f>20300</f>
        <v>20300</v>
      </c>
      <c r="O210" s="26">
        <f>21600</f>
        <v>21600</v>
      </c>
      <c r="P210" s="26">
        <f>22300</f>
        <v>22300</v>
      </c>
      <c r="Q210" s="26">
        <f>23200</f>
        <v>23200</v>
      </c>
      <c r="R210" s="26">
        <f>23700</f>
        <v>23700</v>
      </c>
      <c r="S210" s="26">
        <f>24000</f>
        <v>24000</v>
      </c>
      <c r="T210" s="26">
        <f>24600</f>
        <v>24600</v>
      </c>
      <c r="U210" s="26">
        <f>25400</f>
        <v>25400</v>
      </c>
      <c r="V210" s="26">
        <f>25900</f>
        <v>25900</v>
      </c>
      <c r="W210" s="26"/>
      <c r="X210" s="26"/>
      <c r="Y210" s="26"/>
      <c r="Z210" s="26"/>
      <c r="AA210" s="26">
        <f>27400</f>
        <v>27400</v>
      </c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53"/>
      <c r="AR210" s="53"/>
      <c r="AS210" s="53"/>
      <c r="AT210" s="53"/>
      <c r="AU210" s="53"/>
      <c r="AV210" s="53"/>
      <c r="AW210" s="53"/>
      <c r="AX210" s="53"/>
      <c r="AY210" s="53"/>
      <c r="AZ210" s="54"/>
    </row>
    <row r="211" spans="1:52" ht="13" customHeight="1">
      <c r="A211" s="24" t="s">
        <v>25</v>
      </c>
      <c r="B211" s="24" t="s">
        <v>165</v>
      </c>
      <c r="C211" s="26"/>
      <c r="D211" s="39" t="s">
        <v>166</v>
      </c>
      <c r="E211" s="25" t="s">
        <v>140</v>
      </c>
      <c r="F211" s="25"/>
      <c r="G211" s="25"/>
      <c r="H211" s="38"/>
      <c r="I211" s="198" t="s">
        <v>230</v>
      </c>
      <c r="J211" s="199" t="s">
        <v>226</v>
      </c>
      <c r="K211" s="29">
        <f>34431</f>
        <v>34431</v>
      </c>
      <c r="L211" s="31">
        <f>27310</f>
        <v>27310</v>
      </c>
      <c r="M211" s="26">
        <f>29200</f>
        <v>29200</v>
      </c>
      <c r="N211" s="26">
        <f>29200</f>
        <v>29200</v>
      </c>
      <c r="O211" s="26">
        <f>31500</f>
        <v>31500</v>
      </c>
      <c r="P211" s="26">
        <f>32800</f>
        <v>32800</v>
      </c>
      <c r="Q211" s="26">
        <f>34150</f>
        <v>34150</v>
      </c>
      <c r="R211" s="26">
        <f>34800</f>
        <v>34800</v>
      </c>
      <c r="S211" s="26">
        <f>35500</f>
        <v>35500</v>
      </c>
      <c r="T211" s="26">
        <f>36200</f>
        <v>36200</v>
      </c>
      <c r="U211" s="26">
        <f>37000</f>
        <v>37000</v>
      </c>
      <c r="V211" s="26">
        <f>37800</f>
        <v>37800</v>
      </c>
      <c r="W211" s="26"/>
      <c r="X211" s="26"/>
      <c r="Y211" s="26"/>
      <c r="Z211" s="26"/>
      <c r="AA211" s="26">
        <v>43976</v>
      </c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53"/>
      <c r="AR211" s="53"/>
      <c r="AS211" s="53"/>
      <c r="AT211" s="53"/>
      <c r="AU211" s="53"/>
      <c r="AV211" s="53"/>
      <c r="AW211" s="53"/>
      <c r="AX211" s="53"/>
      <c r="AY211" s="53"/>
      <c r="AZ211" s="54"/>
    </row>
    <row r="212" spans="1:52" ht="13" customHeight="1">
      <c r="A212" s="24" t="s">
        <v>25</v>
      </c>
      <c r="B212" s="24" t="s">
        <v>165</v>
      </c>
      <c r="C212" s="26"/>
      <c r="D212" s="39" t="s">
        <v>166</v>
      </c>
      <c r="E212" s="25" t="s">
        <v>142</v>
      </c>
      <c r="F212" s="25"/>
      <c r="G212" s="25"/>
      <c r="H212" s="38"/>
      <c r="I212" s="204" t="s">
        <v>225</v>
      </c>
      <c r="J212" s="199" t="s">
        <v>226</v>
      </c>
      <c r="K212" s="29">
        <f>83288</f>
        <v>83288</v>
      </c>
      <c r="L212" s="31">
        <f>82661</f>
        <v>82661</v>
      </c>
      <c r="M212" s="26">
        <f>83473</f>
        <v>83473</v>
      </c>
      <c r="N212" s="26">
        <f>83089</f>
        <v>83089</v>
      </c>
      <c r="O212" s="26">
        <f>83760</f>
        <v>83760</v>
      </c>
      <c r="P212" s="26">
        <f>84174</f>
        <v>84174</v>
      </c>
      <c r="Q212" s="26">
        <f>84784</f>
        <v>84784</v>
      </c>
      <c r="R212" s="26">
        <f>84904</f>
        <v>84904</v>
      </c>
      <c r="S212" s="26">
        <f>85219</f>
        <v>85219</v>
      </c>
      <c r="T212" s="26">
        <f>85634</f>
        <v>85634</v>
      </c>
      <c r="U212" s="26">
        <f>86079</f>
        <v>86079</v>
      </c>
      <c r="V212" s="26">
        <f>86764</f>
        <v>86764</v>
      </c>
      <c r="W212" s="26"/>
      <c r="X212" s="26"/>
      <c r="Y212" s="26"/>
      <c r="Z212" s="26"/>
      <c r="AA212" s="26">
        <f>87464</f>
        <v>87464</v>
      </c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53"/>
      <c r="AR212" s="53"/>
      <c r="AS212" s="53"/>
      <c r="AT212" s="53"/>
      <c r="AU212" s="53"/>
      <c r="AV212" s="53"/>
      <c r="AW212" s="53"/>
      <c r="AX212" s="53"/>
      <c r="AY212" s="53"/>
      <c r="AZ212" s="54"/>
    </row>
    <row r="213" spans="1:52" ht="13" customHeight="1">
      <c r="A213" s="24" t="s">
        <v>25</v>
      </c>
      <c r="B213" s="24" t="s">
        <v>165</v>
      </c>
      <c r="C213" s="26"/>
      <c r="D213" s="39" t="s">
        <v>166</v>
      </c>
      <c r="E213" s="25" t="s">
        <v>142</v>
      </c>
      <c r="F213" s="25"/>
      <c r="G213" s="25"/>
      <c r="H213" s="38"/>
      <c r="I213" s="198" t="s">
        <v>227</v>
      </c>
      <c r="J213" s="199" t="s">
        <v>226</v>
      </c>
      <c r="K213" s="29">
        <f>60450</f>
        <v>60450</v>
      </c>
      <c r="L213" s="31">
        <f>54886</f>
        <v>54886</v>
      </c>
      <c r="M213" s="26">
        <f>63564</f>
        <v>63564</v>
      </c>
      <c r="N213" s="26">
        <f>63081</f>
        <v>63081</v>
      </c>
      <c r="O213" s="26">
        <f>64098</f>
        <v>64098</v>
      </c>
      <c r="P213" s="26">
        <f>65121</f>
        <v>65121</v>
      </c>
      <c r="Q213" s="26">
        <f>66216</f>
        <v>66216</v>
      </c>
      <c r="R213" s="26">
        <f>67616</f>
        <v>67616</v>
      </c>
      <c r="S213" s="26">
        <f>68800</f>
        <v>68800</v>
      </c>
      <c r="T213" s="26">
        <f>70150</f>
        <v>70150</v>
      </c>
      <c r="U213" s="26">
        <f>70150</f>
        <v>70150</v>
      </c>
      <c r="V213" s="26">
        <f>72850</f>
        <v>72850</v>
      </c>
      <c r="W213" s="26"/>
      <c r="X213" s="26"/>
      <c r="Y213" s="26"/>
      <c r="Z213" s="26"/>
      <c r="AA213" s="26">
        <f>75962</f>
        <v>75962</v>
      </c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53"/>
      <c r="AR213" s="53"/>
      <c r="AS213" s="53"/>
      <c r="AT213" s="53"/>
      <c r="AU213" s="53"/>
      <c r="AV213" s="53"/>
      <c r="AW213" s="53"/>
      <c r="AX213" s="53"/>
      <c r="AY213" s="53"/>
      <c r="AZ213" s="54"/>
    </row>
    <row r="214" spans="1:52" ht="13" customHeight="1">
      <c r="A214" s="24" t="s">
        <v>25</v>
      </c>
      <c r="B214" s="24" t="s">
        <v>165</v>
      </c>
      <c r="C214" s="26"/>
      <c r="D214" s="39" t="s">
        <v>166</v>
      </c>
      <c r="E214" s="25" t="s">
        <v>142</v>
      </c>
      <c r="F214" s="25"/>
      <c r="G214" s="25"/>
      <c r="H214" s="38"/>
      <c r="I214" s="198" t="s">
        <v>228</v>
      </c>
      <c r="J214" s="199" t="s">
        <v>226</v>
      </c>
      <c r="K214" s="29">
        <f>72465</f>
        <v>72465</v>
      </c>
      <c r="L214" s="31">
        <f>59361</f>
        <v>59361</v>
      </c>
      <c r="M214" s="26">
        <f>72464</f>
        <v>72464</v>
      </c>
      <c r="N214" s="26">
        <f>72681</f>
        <v>72681</v>
      </c>
      <c r="O214" s="26">
        <f>73998</f>
        <v>73998</v>
      </c>
      <c r="P214" s="26">
        <f>75621</f>
        <v>75621</v>
      </c>
      <c r="Q214" s="26">
        <f>77166</f>
        <v>77166</v>
      </c>
      <c r="R214" s="26">
        <f>78716</f>
        <v>78716</v>
      </c>
      <c r="S214" s="26">
        <f>80300</f>
        <v>80300</v>
      </c>
      <c r="T214" s="26">
        <f>81750</f>
        <v>81750</v>
      </c>
      <c r="U214" s="26">
        <f>83100</f>
        <v>83100</v>
      </c>
      <c r="V214" s="26">
        <f>84750</f>
        <v>84750</v>
      </c>
      <c r="W214" s="26"/>
      <c r="X214" s="26"/>
      <c r="Y214" s="26"/>
      <c r="Z214" s="26"/>
      <c r="AA214" s="26">
        <f>95662</f>
        <v>95662</v>
      </c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53"/>
      <c r="AR214" s="53"/>
      <c r="AS214" s="53"/>
      <c r="AT214" s="53"/>
      <c r="AU214" s="53"/>
      <c r="AV214" s="53"/>
      <c r="AW214" s="53"/>
      <c r="AX214" s="53"/>
      <c r="AY214" s="53"/>
      <c r="AZ214" s="54"/>
    </row>
    <row r="215" spans="1:52" ht="13" customHeight="1">
      <c r="A215" s="24" t="s">
        <v>25</v>
      </c>
      <c r="B215" s="24" t="s">
        <v>165</v>
      </c>
      <c r="C215" s="26"/>
      <c r="D215" s="39" t="s">
        <v>166</v>
      </c>
      <c r="E215" s="25" t="s">
        <v>142</v>
      </c>
      <c r="F215" s="25"/>
      <c r="G215" s="25"/>
      <c r="H215" s="38"/>
      <c r="I215" s="198" t="s">
        <v>229</v>
      </c>
      <c r="J215" s="199" t="s">
        <v>226</v>
      </c>
      <c r="K215" s="29">
        <f>22416</f>
        <v>22416</v>
      </c>
      <c r="L215" s="31">
        <f>22835</f>
        <v>22835</v>
      </c>
      <c r="M215" s="26">
        <f>20300</f>
        <v>20300</v>
      </c>
      <c r="N215" s="26">
        <f>20600</f>
        <v>20600</v>
      </c>
      <c r="O215" s="26">
        <f>21600</f>
        <v>21600</v>
      </c>
      <c r="P215" s="26">
        <f>22300</f>
        <v>22300</v>
      </c>
      <c r="Q215" s="26">
        <f>23200</f>
        <v>23200</v>
      </c>
      <c r="R215" s="26">
        <f>23700</f>
        <v>23700</v>
      </c>
      <c r="S215" s="26">
        <f>24000</f>
        <v>24000</v>
      </c>
      <c r="T215" s="26">
        <f>24600</f>
        <v>24600</v>
      </c>
      <c r="U215" s="26">
        <f>25400</f>
        <v>25400</v>
      </c>
      <c r="V215" s="26">
        <f>25900</f>
        <v>25900</v>
      </c>
      <c r="W215" s="26"/>
      <c r="X215" s="26"/>
      <c r="Y215" s="26"/>
      <c r="Z215" s="26"/>
      <c r="AA215" s="26">
        <f>34000</f>
        <v>34000</v>
      </c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53"/>
      <c r="AR215" s="53"/>
      <c r="AS215" s="53"/>
      <c r="AT215" s="53"/>
      <c r="AU215" s="53"/>
      <c r="AV215" s="53"/>
      <c r="AW215" s="53"/>
      <c r="AX215" s="53"/>
      <c r="AY215" s="53"/>
      <c r="AZ215" s="54"/>
    </row>
    <row r="216" spans="1:52" ht="13" customHeight="1">
      <c r="A216" s="24" t="s">
        <v>25</v>
      </c>
      <c r="B216" s="24" t="s">
        <v>165</v>
      </c>
      <c r="C216" s="26"/>
      <c r="D216" s="39" t="s">
        <v>166</v>
      </c>
      <c r="E216" s="25" t="s">
        <v>142</v>
      </c>
      <c r="F216" s="25"/>
      <c r="G216" s="25"/>
      <c r="H216" s="38"/>
      <c r="I216" s="198" t="s">
        <v>230</v>
      </c>
      <c r="J216" s="199" t="s">
        <v>226</v>
      </c>
      <c r="K216" s="29">
        <f>34431</f>
        <v>34431</v>
      </c>
      <c r="L216" s="31">
        <f>27310</f>
        <v>27310</v>
      </c>
      <c r="M216" s="26">
        <f>29200</f>
        <v>29200</v>
      </c>
      <c r="N216" s="26">
        <f>30200</f>
        <v>30200</v>
      </c>
      <c r="O216" s="26">
        <f>31500</f>
        <v>31500</v>
      </c>
      <c r="P216" s="26">
        <f>32800</f>
        <v>32800</v>
      </c>
      <c r="Q216" s="26">
        <f>34150</f>
        <v>34150</v>
      </c>
      <c r="R216" s="26">
        <f>34800</f>
        <v>34800</v>
      </c>
      <c r="S216" s="26">
        <f>35500</f>
        <v>35500</v>
      </c>
      <c r="T216" s="26">
        <f>36200</f>
        <v>36200</v>
      </c>
      <c r="U216" s="26">
        <f>37000</f>
        <v>37000</v>
      </c>
      <c r="V216" s="26">
        <f>37800</f>
        <v>37800</v>
      </c>
      <c r="W216" s="26"/>
      <c r="X216" s="26"/>
      <c r="Y216" s="26"/>
      <c r="Z216" s="26"/>
      <c r="AA216" s="26">
        <f>53700</f>
        <v>53700</v>
      </c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53"/>
      <c r="AR216" s="53"/>
      <c r="AS216" s="53"/>
      <c r="AT216" s="53"/>
      <c r="AU216" s="53"/>
      <c r="AV216" s="53"/>
      <c r="AW216" s="53"/>
      <c r="AX216" s="53"/>
      <c r="AY216" s="53"/>
      <c r="AZ216" s="54"/>
    </row>
    <row r="217" spans="1:52" ht="13" customHeight="1">
      <c r="A217" s="24" t="s">
        <v>25</v>
      </c>
      <c r="B217" s="24" t="s">
        <v>165</v>
      </c>
      <c r="C217" s="26"/>
      <c r="D217" s="39" t="s">
        <v>166</v>
      </c>
      <c r="E217" s="25" t="s">
        <v>140</v>
      </c>
      <c r="F217" s="25"/>
      <c r="G217" s="25"/>
      <c r="H217" s="38"/>
      <c r="I217" s="207" t="s">
        <v>231</v>
      </c>
      <c r="J217" s="199" t="s">
        <v>226</v>
      </c>
      <c r="K217" s="29">
        <f>11928</f>
        <v>11928</v>
      </c>
      <c r="L217" s="31">
        <f>11119</f>
        <v>11119</v>
      </c>
      <c r="M217" s="26">
        <f>11220</f>
        <v>11220</v>
      </c>
      <c r="N217" s="26">
        <f>10265</f>
        <v>10265</v>
      </c>
      <c r="O217" s="26">
        <f>10565</f>
        <v>10565</v>
      </c>
      <c r="P217" s="26">
        <f>11233</f>
        <v>11233</v>
      </c>
      <c r="Q217" s="26">
        <f>11291</f>
        <v>11291</v>
      </c>
      <c r="R217" s="26">
        <f>11320</f>
        <v>11320</v>
      </c>
      <c r="S217" s="26">
        <f>11352</f>
        <v>11352</v>
      </c>
      <c r="T217" s="26">
        <f>11381</f>
        <v>11381</v>
      </c>
      <c r="U217" s="26">
        <f>11384</f>
        <v>11384</v>
      </c>
      <c r="V217" s="26">
        <f>11405</f>
        <v>11405</v>
      </c>
      <c r="W217" s="26"/>
      <c r="X217" s="26"/>
      <c r="Y217" s="26"/>
      <c r="Z217" s="26"/>
      <c r="AA217" s="26">
        <f>11435</f>
        <v>11435</v>
      </c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53"/>
      <c r="AR217" s="53"/>
      <c r="AS217" s="53"/>
      <c r="AT217" s="53"/>
      <c r="AU217" s="53"/>
      <c r="AV217" s="53"/>
      <c r="AW217" s="53"/>
      <c r="AX217" s="53"/>
      <c r="AY217" s="53"/>
      <c r="AZ217" s="54"/>
    </row>
    <row r="218" spans="1:52" ht="13" customHeight="1">
      <c r="A218" s="24" t="s">
        <v>25</v>
      </c>
      <c r="B218" s="24" t="s">
        <v>165</v>
      </c>
      <c r="C218" s="26"/>
      <c r="D218" s="39" t="s">
        <v>166</v>
      </c>
      <c r="E218" s="25" t="s">
        <v>140</v>
      </c>
      <c r="F218" s="25"/>
      <c r="G218" s="25"/>
      <c r="H218" s="38"/>
      <c r="I218" s="208" t="s">
        <v>232</v>
      </c>
      <c r="J218" s="199" t="s">
        <v>226</v>
      </c>
      <c r="K218" s="29">
        <f>6493</f>
        <v>6493</v>
      </c>
      <c r="L218" s="31">
        <f>6760</f>
        <v>6760</v>
      </c>
      <c r="M218" s="26">
        <f>9611</f>
        <v>9611</v>
      </c>
      <c r="N218" s="26">
        <f>8341</f>
        <v>8341</v>
      </c>
      <c r="O218" s="26">
        <f>8295</f>
        <v>8295</v>
      </c>
      <c r="P218" s="26">
        <f>8767</f>
        <v>8767</v>
      </c>
      <c r="Q218" s="26">
        <f>9051</f>
        <v>9051</v>
      </c>
      <c r="R218" s="26">
        <f>9210</f>
        <v>9210</v>
      </c>
      <c r="S218" s="26">
        <f>9456</f>
        <v>9456</v>
      </c>
      <c r="T218" s="26">
        <f>9799</f>
        <v>9799</v>
      </c>
      <c r="U218" s="26">
        <f>10153</f>
        <v>10153</v>
      </c>
      <c r="V218" s="26">
        <f>10179</f>
        <v>10179</v>
      </c>
      <c r="W218" s="26"/>
      <c r="X218" s="26"/>
      <c r="Y218" s="26"/>
      <c r="Z218" s="26"/>
      <c r="AA218" s="26">
        <f>10206</f>
        <v>10206</v>
      </c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53"/>
      <c r="AR218" s="53"/>
      <c r="AS218" s="53"/>
      <c r="AT218" s="53"/>
      <c r="AU218" s="53"/>
      <c r="AV218" s="53"/>
      <c r="AW218" s="53"/>
      <c r="AX218" s="53"/>
      <c r="AY218" s="53"/>
      <c r="AZ218" s="54"/>
    </row>
    <row r="219" spans="1:52" ht="13" customHeight="1">
      <c r="A219" s="24" t="s">
        <v>25</v>
      </c>
      <c r="B219" s="24" t="s">
        <v>165</v>
      </c>
      <c r="C219" s="26"/>
      <c r="D219" s="39" t="s">
        <v>166</v>
      </c>
      <c r="E219" s="25" t="s">
        <v>140</v>
      </c>
      <c r="F219" s="25"/>
      <c r="G219" s="25"/>
      <c r="H219" s="38"/>
      <c r="I219" s="208" t="s">
        <v>233</v>
      </c>
      <c r="J219" s="199" t="s">
        <v>226</v>
      </c>
      <c r="K219" s="29">
        <f>8648</f>
        <v>8648</v>
      </c>
      <c r="L219" s="31">
        <f>7242</f>
        <v>7242</v>
      </c>
      <c r="M219" s="26">
        <f>12461</f>
        <v>12461</v>
      </c>
      <c r="N219" s="26">
        <f>10991</f>
        <v>10991</v>
      </c>
      <c r="O219" s="26">
        <f>11045</f>
        <v>11045</v>
      </c>
      <c r="P219" s="26">
        <f>11467</f>
        <v>11467</v>
      </c>
      <c r="Q219" s="26">
        <f>11901</f>
        <v>11901</v>
      </c>
      <c r="R219" s="26">
        <f>12060</f>
        <v>12060</v>
      </c>
      <c r="S219" s="26">
        <f>12406</f>
        <v>12406</v>
      </c>
      <c r="T219" s="26">
        <f>12799</f>
        <v>12799</v>
      </c>
      <c r="U219" s="26">
        <f>13253</f>
        <v>13253</v>
      </c>
      <c r="V219" s="26">
        <f>13329</f>
        <v>13329</v>
      </c>
      <c r="W219" s="26"/>
      <c r="X219" s="26"/>
      <c r="Y219" s="26"/>
      <c r="Z219" s="26"/>
      <c r="AA219" s="26">
        <f>13406</f>
        <v>13406</v>
      </c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53"/>
      <c r="AR219" s="53"/>
      <c r="AS219" s="53"/>
      <c r="AT219" s="53"/>
      <c r="AU219" s="53"/>
      <c r="AV219" s="53"/>
      <c r="AW219" s="53"/>
      <c r="AX219" s="53"/>
      <c r="AY219" s="53"/>
      <c r="AZ219" s="54"/>
    </row>
    <row r="220" spans="1:52" ht="13" customHeight="1">
      <c r="A220" s="24" t="s">
        <v>25</v>
      </c>
      <c r="B220" s="24" t="s">
        <v>165</v>
      </c>
      <c r="C220" s="26"/>
      <c r="D220" s="39" t="s">
        <v>166</v>
      </c>
      <c r="E220" s="25" t="s">
        <v>140</v>
      </c>
      <c r="F220" s="25"/>
      <c r="G220" s="25"/>
      <c r="H220" s="38"/>
      <c r="I220" s="208" t="s">
        <v>234</v>
      </c>
      <c r="J220" s="199" t="s">
        <v>226</v>
      </c>
      <c r="K220" s="29">
        <f>3968</f>
        <v>3968</v>
      </c>
      <c r="L220" s="31">
        <f>3378</f>
        <v>3378</v>
      </c>
      <c r="M220" s="26">
        <f>3400</f>
        <v>3400</v>
      </c>
      <c r="N220" s="26">
        <f>3600</f>
        <v>3600</v>
      </c>
      <c r="O220" s="26">
        <f>3900</f>
        <v>3900</v>
      </c>
      <c r="P220" s="26">
        <f>4100</f>
        <v>4100</v>
      </c>
      <c r="Q220" s="26">
        <f>4200</f>
        <v>4200</v>
      </c>
      <c r="R220" s="26">
        <f>4300</f>
        <v>4300</v>
      </c>
      <c r="S220" s="26">
        <f>4400</f>
        <v>4400</v>
      </c>
      <c r="T220" s="26">
        <f>4600</f>
        <v>4600</v>
      </c>
      <c r="U220" s="26">
        <f>4800</f>
        <v>4800</v>
      </c>
      <c r="V220" s="26">
        <f>4800</f>
        <v>4800</v>
      </c>
      <c r="W220" s="26"/>
      <c r="X220" s="26"/>
      <c r="Y220" s="26"/>
      <c r="Z220" s="26"/>
      <c r="AA220" s="26">
        <f>4900</f>
        <v>4900</v>
      </c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53"/>
      <c r="AR220" s="53"/>
      <c r="AS220" s="53"/>
      <c r="AT220" s="53"/>
      <c r="AU220" s="53"/>
      <c r="AV220" s="53"/>
      <c r="AW220" s="53"/>
      <c r="AX220" s="53"/>
      <c r="AY220" s="53"/>
      <c r="AZ220" s="54"/>
    </row>
    <row r="221" spans="1:52" ht="13" customHeight="1">
      <c r="A221" s="24" t="s">
        <v>25</v>
      </c>
      <c r="B221" s="24" t="s">
        <v>165</v>
      </c>
      <c r="C221" s="26"/>
      <c r="D221" s="39" t="s">
        <v>166</v>
      </c>
      <c r="E221" s="25" t="s">
        <v>140</v>
      </c>
      <c r="F221" s="25"/>
      <c r="G221" s="25"/>
      <c r="H221" s="38"/>
      <c r="I221" s="208" t="s">
        <v>235</v>
      </c>
      <c r="J221" s="199" t="s">
        <v>226</v>
      </c>
      <c r="K221" s="29">
        <f>6023</f>
        <v>6023</v>
      </c>
      <c r="L221" s="31">
        <f>3860</f>
        <v>3860</v>
      </c>
      <c r="M221" s="26">
        <f>6250</f>
        <v>6250</v>
      </c>
      <c r="N221" s="26">
        <f>6250</f>
        <v>6250</v>
      </c>
      <c r="O221" s="26">
        <f>6650</f>
        <v>6650</v>
      </c>
      <c r="P221" s="26">
        <f>6800</f>
        <v>6800</v>
      </c>
      <c r="Q221" s="26">
        <f>7050</f>
        <v>7050</v>
      </c>
      <c r="R221" s="26">
        <f>7150</f>
        <v>7150</v>
      </c>
      <c r="S221" s="26">
        <f>7350</f>
        <v>7350</v>
      </c>
      <c r="T221" s="26">
        <f>7600</f>
        <v>7600</v>
      </c>
      <c r="U221" s="26">
        <f>7900</f>
        <v>7900</v>
      </c>
      <c r="V221" s="26">
        <f>7950</f>
        <v>7950</v>
      </c>
      <c r="W221" s="26"/>
      <c r="X221" s="26"/>
      <c r="Y221" s="26"/>
      <c r="Z221" s="26"/>
      <c r="AA221" s="26">
        <f>8100</f>
        <v>8100</v>
      </c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53"/>
      <c r="AR221" s="53"/>
      <c r="AS221" s="53"/>
      <c r="AT221" s="53"/>
      <c r="AU221" s="53"/>
      <c r="AV221" s="53"/>
      <c r="AW221" s="53"/>
      <c r="AX221" s="53"/>
      <c r="AY221" s="53"/>
      <c r="AZ221" s="54"/>
    </row>
    <row r="222" spans="1:52" ht="13" customHeight="1">
      <c r="A222" s="24" t="s">
        <v>25</v>
      </c>
      <c r="B222" s="24" t="s">
        <v>165</v>
      </c>
      <c r="C222" s="26"/>
      <c r="D222" s="39" t="s">
        <v>166</v>
      </c>
      <c r="E222" s="25" t="s">
        <v>142</v>
      </c>
      <c r="F222" s="25"/>
      <c r="G222" s="25"/>
      <c r="H222" s="38"/>
      <c r="I222" s="207" t="s">
        <v>231</v>
      </c>
      <c r="J222" s="199" t="s">
        <v>226</v>
      </c>
      <c r="K222" s="29">
        <f>11928</f>
        <v>11928</v>
      </c>
      <c r="L222" s="31">
        <f>11119</f>
        <v>11119</v>
      </c>
      <c r="M222" s="26">
        <f>11289</f>
        <v>11289</v>
      </c>
      <c r="N222" s="26">
        <f>10339</f>
        <v>10339</v>
      </c>
      <c r="O222" s="26">
        <f>10690</f>
        <v>10690</v>
      </c>
      <c r="P222" s="26">
        <f>11368</f>
        <v>11368</v>
      </c>
      <c r="Q222" s="26">
        <f>11414</f>
        <v>11414</v>
      </c>
      <c r="R222" s="26">
        <f>11448</f>
        <v>11448</v>
      </c>
      <c r="S222" s="26">
        <f>11465</f>
        <v>11465</v>
      </c>
      <c r="T222" s="26">
        <f>11479</f>
        <v>11479</v>
      </c>
      <c r="U222" s="26">
        <f>11492</f>
        <v>11492</v>
      </c>
      <c r="V222" s="26">
        <f>11503</f>
        <v>11503</v>
      </c>
      <c r="W222" s="26"/>
      <c r="X222" s="26"/>
      <c r="Y222" s="26"/>
      <c r="Z222" s="26"/>
      <c r="AA222" s="26">
        <f>11483</f>
        <v>11483</v>
      </c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53"/>
      <c r="AR222" s="53"/>
      <c r="AS222" s="53"/>
      <c r="AT222" s="53"/>
      <c r="AU222" s="53"/>
      <c r="AV222" s="53"/>
      <c r="AW222" s="53"/>
      <c r="AX222" s="53"/>
      <c r="AY222" s="53"/>
      <c r="AZ222" s="54"/>
    </row>
    <row r="223" spans="1:52" ht="13" customHeight="1">
      <c r="A223" s="24" t="s">
        <v>25</v>
      </c>
      <c r="B223" s="24" t="s">
        <v>165</v>
      </c>
      <c r="C223" s="26"/>
      <c r="D223" s="39" t="s">
        <v>166</v>
      </c>
      <c r="E223" s="25" t="s">
        <v>142</v>
      </c>
      <c r="F223" s="25"/>
      <c r="G223" s="25"/>
      <c r="H223" s="38"/>
      <c r="I223" s="208" t="s">
        <v>232</v>
      </c>
      <c r="J223" s="199" t="s">
        <v>226</v>
      </c>
      <c r="K223" s="29">
        <f>6493</f>
        <v>6493</v>
      </c>
      <c r="L223" s="31">
        <f>6760</f>
        <v>6760</v>
      </c>
      <c r="M223" s="26">
        <f>9611</f>
        <v>9611</v>
      </c>
      <c r="N223" s="26">
        <f>8584</f>
        <v>8584</v>
      </c>
      <c r="O223" s="26">
        <f>9363</f>
        <v>9363</v>
      </c>
      <c r="P223" s="26">
        <f>10387</f>
        <v>10387</v>
      </c>
      <c r="Q223" s="26">
        <f>10599</f>
        <v>10599</v>
      </c>
      <c r="R223" s="26">
        <f>10532</f>
        <v>10532</v>
      </c>
      <c r="S223" s="26">
        <f>10707</f>
        <v>10707</v>
      </c>
      <c r="T223" s="26">
        <f>10795</f>
        <v>10795</v>
      </c>
      <c r="U223" s="26">
        <f>10940</f>
        <v>10940</v>
      </c>
      <c r="V223" s="26">
        <f>11025</f>
        <v>11025</v>
      </c>
      <c r="W223" s="26"/>
      <c r="X223" s="26"/>
      <c r="Y223" s="26"/>
      <c r="Z223" s="26"/>
      <c r="AA223" s="26">
        <f>11100</f>
        <v>11100</v>
      </c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53"/>
      <c r="AR223" s="53"/>
      <c r="AS223" s="53"/>
      <c r="AT223" s="53"/>
      <c r="AU223" s="53"/>
      <c r="AV223" s="53"/>
      <c r="AW223" s="53"/>
      <c r="AX223" s="53"/>
      <c r="AY223" s="53"/>
      <c r="AZ223" s="54"/>
    </row>
    <row r="224" spans="1:52" ht="13" customHeight="1">
      <c r="A224" s="24" t="s">
        <v>25</v>
      </c>
      <c r="B224" s="24" t="s">
        <v>165</v>
      </c>
      <c r="C224" s="26"/>
      <c r="D224" s="39" t="s">
        <v>166</v>
      </c>
      <c r="E224" s="25" t="s">
        <v>142</v>
      </c>
      <c r="F224" s="25"/>
      <c r="G224" s="25"/>
      <c r="H224" s="38"/>
      <c r="I224" s="208" t="s">
        <v>236</v>
      </c>
      <c r="J224" s="199" t="s">
        <v>226</v>
      </c>
      <c r="K224" s="29">
        <f>8648</f>
        <v>8648</v>
      </c>
      <c r="L224" s="31">
        <f>7242</f>
        <v>7242</v>
      </c>
      <c r="M224" s="26">
        <f>12461</f>
        <v>12461</v>
      </c>
      <c r="N224" s="26">
        <f>10991</f>
        <v>10991</v>
      </c>
      <c r="O224" s="26">
        <f>11045</f>
        <v>11045</v>
      </c>
      <c r="P224" s="26">
        <f>11467</f>
        <v>11467</v>
      </c>
      <c r="Q224" s="26">
        <f>11901</f>
        <v>11901</v>
      </c>
      <c r="R224" s="26">
        <f>12060</f>
        <v>12060</v>
      </c>
      <c r="S224" s="26">
        <f>12406</f>
        <v>12406</v>
      </c>
      <c r="T224" s="26">
        <f>12799</f>
        <v>12799</v>
      </c>
      <c r="U224" s="26">
        <f>13253</f>
        <v>13253</v>
      </c>
      <c r="V224" s="26">
        <f>13329</f>
        <v>13329</v>
      </c>
      <c r="W224" s="26"/>
      <c r="X224" s="26"/>
      <c r="Y224" s="26"/>
      <c r="Z224" s="26"/>
      <c r="AA224" s="26">
        <v>13406</v>
      </c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53"/>
      <c r="AR224" s="53"/>
      <c r="AS224" s="53"/>
      <c r="AT224" s="53"/>
      <c r="AU224" s="53"/>
      <c r="AV224" s="53"/>
      <c r="AW224" s="53"/>
      <c r="AX224" s="53"/>
      <c r="AY224" s="53"/>
      <c r="AZ224" s="54"/>
    </row>
    <row r="225" spans="1:52" ht="13" customHeight="1">
      <c r="A225" s="24" t="s">
        <v>25</v>
      </c>
      <c r="B225" s="24" t="s">
        <v>165</v>
      </c>
      <c r="C225" s="26"/>
      <c r="D225" s="39" t="s">
        <v>166</v>
      </c>
      <c r="E225" s="25" t="s">
        <v>142</v>
      </c>
      <c r="F225" s="25"/>
      <c r="G225" s="25"/>
      <c r="H225" s="38"/>
      <c r="I225" s="208" t="s">
        <v>234</v>
      </c>
      <c r="J225" s="199" t="s">
        <v>226</v>
      </c>
      <c r="K225" s="29">
        <f>3968</f>
        <v>3968</v>
      </c>
      <c r="L225" s="31">
        <f>3378</f>
        <v>3378</v>
      </c>
      <c r="M225" s="26">
        <f>3400</f>
        <v>3400</v>
      </c>
      <c r="N225" s="26">
        <f>3950</f>
        <v>3950</v>
      </c>
      <c r="O225" s="26">
        <f>4500</f>
        <v>4500</v>
      </c>
      <c r="P225" s="26">
        <f>5000</f>
        <v>5000</v>
      </c>
      <c r="Q225" s="26">
        <f>5100</f>
        <v>5100</v>
      </c>
      <c r="R225" s="26">
        <f>5100</f>
        <v>5100</v>
      </c>
      <c r="S225" s="26">
        <f>5100</f>
        <v>5100</v>
      </c>
      <c r="T225" s="26">
        <f>5200</f>
        <v>5200</v>
      </c>
      <c r="U225" s="26">
        <f>5250</f>
        <v>5250</v>
      </c>
      <c r="V225" s="26">
        <f>5300</f>
        <v>5300</v>
      </c>
      <c r="W225" s="26"/>
      <c r="X225" s="26"/>
      <c r="Y225" s="26"/>
      <c r="Z225" s="26"/>
      <c r="AA225" s="26">
        <f>5500</f>
        <v>5500</v>
      </c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53"/>
      <c r="AR225" s="53"/>
      <c r="AS225" s="53"/>
      <c r="AT225" s="53"/>
      <c r="AU225" s="53"/>
      <c r="AV225" s="53"/>
      <c r="AW225" s="53"/>
      <c r="AX225" s="53"/>
      <c r="AY225" s="53"/>
      <c r="AZ225" s="54"/>
    </row>
    <row r="226" spans="1:52" ht="13" customHeight="1">
      <c r="A226" s="24" t="s">
        <v>25</v>
      </c>
      <c r="B226" s="24" t="s">
        <v>165</v>
      </c>
      <c r="C226" s="26"/>
      <c r="D226" s="39" t="s">
        <v>166</v>
      </c>
      <c r="E226" s="25" t="s">
        <v>142</v>
      </c>
      <c r="F226" s="25"/>
      <c r="G226" s="25"/>
      <c r="H226" s="38"/>
      <c r="I226" s="208" t="s">
        <v>235</v>
      </c>
      <c r="J226" s="199" t="s">
        <v>226</v>
      </c>
      <c r="K226" s="29">
        <f>6023</f>
        <v>6023</v>
      </c>
      <c r="L226" s="31">
        <f>3860</f>
        <v>3860</v>
      </c>
      <c r="M226" s="26">
        <f>6250</f>
        <v>6250</v>
      </c>
      <c r="N226" s="26">
        <f>6450</f>
        <v>6450</v>
      </c>
      <c r="O226" s="26">
        <f>7000</f>
        <v>7000</v>
      </c>
      <c r="P226" s="26">
        <v>7800</v>
      </c>
      <c r="Q226" s="26">
        <f>7900</f>
        <v>7900</v>
      </c>
      <c r="R226" s="26">
        <f>7900</f>
        <v>7900</v>
      </c>
      <c r="S226" s="26">
        <f>8000</f>
        <v>8000</v>
      </c>
      <c r="T226" s="26">
        <f>8100</f>
        <v>8100</v>
      </c>
      <c r="U226" s="26">
        <f>8200</f>
        <v>8200</v>
      </c>
      <c r="V226" s="26">
        <f>8250</f>
        <v>8250</v>
      </c>
      <c r="W226" s="26"/>
      <c r="X226" s="26"/>
      <c r="Y226" s="26"/>
      <c r="Z226" s="26"/>
      <c r="AA226" s="26">
        <f>9000</f>
        <v>9000</v>
      </c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53"/>
      <c r="AR226" s="53"/>
      <c r="AS226" s="53"/>
      <c r="AT226" s="53"/>
      <c r="AU226" s="53"/>
      <c r="AV226" s="53"/>
      <c r="AW226" s="53"/>
      <c r="AX226" s="53"/>
      <c r="AY226" s="53"/>
      <c r="AZ226" s="54"/>
    </row>
    <row r="227" spans="1:52" ht="13" customHeight="1">
      <c r="A227" s="24" t="s">
        <v>25</v>
      </c>
      <c r="B227" s="24" t="s">
        <v>165</v>
      </c>
      <c r="C227" s="26"/>
      <c r="D227" s="39" t="s">
        <v>166</v>
      </c>
      <c r="E227" s="25" t="s">
        <v>140</v>
      </c>
      <c r="F227" s="25"/>
      <c r="G227" s="25"/>
      <c r="H227" s="38"/>
      <c r="I227" s="207" t="s">
        <v>237</v>
      </c>
      <c r="J227" s="199" t="s">
        <v>226</v>
      </c>
      <c r="K227" s="29">
        <f>53492</f>
        <v>53492</v>
      </c>
      <c r="L227" s="31">
        <f>53646</f>
        <v>53646</v>
      </c>
      <c r="M227" s="26">
        <f>54131</f>
        <v>54131</v>
      </c>
      <c r="N227" s="26">
        <f>54532</f>
        <v>54532</v>
      </c>
      <c r="O227" s="26">
        <f>54532</f>
        <v>54532</v>
      </c>
      <c r="P227" s="26">
        <f>54164</f>
        <v>54164</v>
      </c>
      <c r="Q227" s="26">
        <f>54278</f>
        <v>54278</v>
      </c>
      <c r="R227" s="26">
        <f>54304</f>
        <v>54304</v>
      </c>
      <c r="S227" s="26">
        <f>54447</f>
        <v>54447</v>
      </c>
      <c r="T227" s="26">
        <f>54543</f>
        <v>54543</v>
      </c>
      <c r="U227" s="26">
        <f>54690</f>
        <v>54690</v>
      </c>
      <c r="V227" s="26">
        <f>54939</f>
        <v>54939</v>
      </c>
      <c r="W227" s="26"/>
      <c r="X227" s="26"/>
      <c r="Y227" s="26"/>
      <c r="Z227" s="26"/>
      <c r="AA227" s="26">
        <f>55139</f>
        <v>55139</v>
      </c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53"/>
      <c r="AR227" s="53"/>
      <c r="AS227" s="53"/>
      <c r="AT227" s="53"/>
      <c r="AU227" s="53"/>
      <c r="AV227" s="53"/>
      <c r="AW227" s="53"/>
      <c r="AX227" s="53"/>
      <c r="AY227" s="53"/>
      <c r="AZ227" s="54"/>
    </row>
    <row r="228" spans="1:52" ht="13" customHeight="1">
      <c r="A228" s="24" t="s">
        <v>25</v>
      </c>
      <c r="B228" s="24" t="s">
        <v>165</v>
      </c>
      <c r="C228" s="26"/>
      <c r="D228" s="39" t="s">
        <v>166</v>
      </c>
      <c r="E228" s="25" t="s">
        <v>140</v>
      </c>
      <c r="F228" s="25"/>
      <c r="G228" s="25"/>
      <c r="H228" s="38"/>
      <c r="I228" s="208" t="s">
        <v>238</v>
      </c>
      <c r="J228" s="199" t="s">
        <v>226</v>
      </c>
      <c r="K228" s="29">
        <f>43103</f>
        <v>43103</v>
      </c>
      <c r="L228" s="31">
        <f>37605</f>
        <v>37605</v>
      </c>
      <c r="M228" s="26">
        <f>37517</f>
        <v>37517</v>
      </c>
      <c r="N228" s="26">
        <f>36470</f>
        <v>36470</v>
      </c>
      <c r="O228" s="26">
        <f>37372</f>
        <v>37372</v>
      </c>
      <c r="P228" s="26">
        <f>37823</f>
        <v>37823</v>
      </c>
      <c r="Q228" s="26">
        <f>38513</f>
        <v>38513</v>
      </c>
      <c r="R228" s="26">
        <f>39135</f>
        <v>39135</v>
      </c>
      <c r="S228" s="26">
        <f>40146</f>
        <v>40146</v>
      </c>
      <c r="T228" s="26">
        <f>41638</f>
        <v>41638</v>
      </c>
      <c r="U228" s="26">
        <f>42020</f>
        <v>42020</v>
      </c>
      <c r="V228" s="26">
        <f>42854</f>
        <v>42854</v>
      </c>
      <c r="W228" s="26"/>
      <c r="X228" s="26"/>
      <c r="Y228" s="26"/>
      <c r="Z228" s="26"/>
      <c r="AA228" s="26">
        <f>44180</f>
        <v>44180</v>
      </c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53"/>
      <c r="AR228" s="53"/>
      <c r="AS228" s="53"/>
      <c r="AT228" s="53"/>
      <c r="AU228" s="53"/>
      <c r="AV228" s="53"/>
      <c r="AW228" s="53"/>
      <c r="AX228" s="53"/>
      <c r="AY228" s="53"/>
      <c r="AZ228" s="54"/>
    </row>
    <row r="229" spans="1:52" ht="13" customHeight="1">
      <c r="A229" s="24" t="s">
        <v>25</v>
      </c>
      <c r="B229" s="24" t="s">
        <v>165</v>
      </c>
      <c r="C229" s="26"/>
      <c r="D229" s="39" t="s">
        <v>166</v>
      </c>
      <c r="E229" s="25" t="s">
        <v>140</v>
      </c>
      <c r="F229" s="25"/>
      <c r="G229" s="25"/>
      <c r="H229" s="38"/>
      <c r="I229" s="208" t="s">
        <v>178</v>
      </c>
      <c r="J229" s="199" t="s">
        <v>226</v>
      </c>
      <c r="K229" s="29">
        <f>45546</f>
        <v>45546</v>
      </c>
      <c r="L229" s="31">
        <f>36528</f>
        <v>36528</v>
      </c>
      <c r="M229" s="26">
        <f>40017</f>
        <v>40017</v>
      </c>
      <c r="N229" s="26">
        <f>39470</f>
        <v>39470</v>
      </c>
      <c r="O229" s="26">
        <f>40372</f>
        <v>40372</v>
      </c>
      <c r="P229" s="26">
        <f>40523</f>
        <v>40523</v>
      </c>
      <c r="Q229" s="26">
        <f>40813</f>
        <v>40813</v>
      </c>
      <c r="R229" s="26">
        <f>41535</f>
        <v>41535</v>
      </c>
      <c r="S229" s="26">
        <f>42846</f>
        <v>42846</v>
      </c>
      <c r="T229" s="209">
        <f>T228-T230+T231</f>
        <v>44738</v>
      </c>
      <c r="U229" s="26">
        <f>44920</f>
        <v>44920</v>
      </c>
      <c r="V229" s="26">
        <f>46254</f>
        <v>46254</v>
      </c>
      <c r="W229" s="26"/>
      <c r="X229" s="26"/>
      <c r="Y229" s="26"/>
      <c r="Z229" s="26"/>
      <c r="AA229" s="26">
        <v>48480</v>
      </c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53"/>
      <c r="AR229" s="53"/>
      <c r="AS229" s="53"/>
      <c r="AT229" s="53"/>
      <c r="AU229" s="53"/>
      <c r="AV229" s="53"/>
      <c r="AW229" s="53"/>
      <c r="AX229" s="53"/>
      <c r="AY229" s="53"/>
      <c r="AZ229" s="54"/>
    </row>
    <row r="230" spans="1:52" ht="13" customHeight="1">
      <c r="A230" s="24" t="s">
        <v>25</v>
      </c>
      <c r="B230" s="24" t="s">
        <v>165</v>
      </c>
      <c r="C230" s="26"/>
      <c r="D230" s="39" t="s">
        <v>166</v>
      </c>
      <c r="E230" s="25" t="s">
        <v>140</v>
      </c>
      <c r="F230" s="25"/>
      <c r="G230" s="25"/>
      <c r="H230" s="38"/>
      <c r="I230" s="208" t="s">
        <v>239</v>
      </c>
      <c r="J230" s="199" t="s">
        <v>226</v>
      </c>
      <c r="K230" s="29">
        <f>18170</f>
        <v>18170</v>
      </c>
      <c r="L230" s="31">
        <f>18466</f>
        <v>18466</v>
      </c>
      <c r="M230" s="26">
        <f>14500</f>
        <v>14500</v>
      </c>
      <c r="N230" s="26">
        <f>14500</f>
        <v>14500</v>
      </c>
      <c r="O230" s="26">
        <f>15000</f>
        <v>15000</v>
      </c>
      <c r="P230" s="26">
        <f>15500</f>
        <v>15500</v>
      </c>
      <c r="Q230" s="26">
        <f>16200</f>
        <v>16200</v>
      </c>
      <c r="R230" s="26">
        <f>16400</f>
        <v>16400</v>
      </c>
      <c r="S230" s="26">
        <f>16600</f>
        <v>16600</v>
      </c>
      <c r="T230" s="26">
        <f>16900</f>
        <v>16900</v>
      </c>
      <c r="U230" s="26">
        <f>17300</f>
        <v>17300</v>
      </c>
      <c r="V230" s="26">
        <f>17600</f>
        <v>17600</v>
      </c>
      <c r="W230" s="26"/>
      <c r="X230" s="26"/>
      <c r="Y230" s="26"/>
      <c r="Z230" s="26"/>
      <c r="AA230" s="26">
        <f>18700</f>
        <v>18700</v>
      </c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53"/>
      <c r="AR230" s="53"/>
      <c r="AS230" s="53"/>
      <c r="AT230" s="53"/>
      <c r="AU230" s="53"/>
      <c r="AV230" s="53"/>
      <c r="AW230" s="53"/>
      <c r="AX230" s="53"/>
      <c r="AY230" s="53"/>
      <c r="AZ230" s="54"/>
    </row>
    <row r="231" spans="1:52" ht="13" customHeight="1">
      <c r="A231" s="24" t="s">
        <v>25</v>
      </c>
      <c r="B231" s="24" t="s">
        <v>165</v>
      </c>
      <c r="C231" s="26"/>
      <c r="D231" s="39" t="s">
        <v>166</v>
      </c>
      <c r="E231" s="25" t="s">
        <v>140</v>
      </c>
      <c r="F231" s="25"/>
      <c r="G231" s="25"/>
      <c r="H231" s="38"/>
      <c r="I231" s="208" t="s">
        <v>240</v>
      </c>
      <c r="J231" s="199" t="s">
        <v>226</v>
      </c>
      <c r="K231" s="29">
        <f>20613</f>
        <v>20613</v>
      </c>
      <c r="L231" s="31">
        <f>17389</f>
        <v>17389</v>
      </c>
      <c r="M231" s="26">
        <f>17000</f>
        <v>17000</v>
      </c>
      <c r="N231" s="26">
        <f>17500</f>
        <v>17500</v>
      </c>
      <c r="O231" s="26">
        <f>18000</f>
        <v>18000</v>
      </c>
      <c r="P231" s="26">
        <f>18200</f>
        <v>18200</v>
      </c>
      <c r="Q231" s="26">
        <f>18500</f>
        <v>18500</v>
      </c>
      <c r="R231" s="26">
        <f>18800</f>
        <v>18800</v>
      </c>
      <c r="S231" s="26">
        <f>19300</f>
        <v>19300</v>
      </c>
      <c r="T231" s="209">
        <v>20000</v>
      </c>
      <c r="U231" s="26">
        <f>20200</f>
        <v>20200</v>
      </c>
      <c r="V231" s="26">
        <f>21000</f>
        <v>21000</v>
      </c>
      <c r="W231" s="26"/>
      <c r="X231" s="26"/>
      <c r="Y231" s="26"/>
      <c r="Z231" s="26"/>
      <c r="AA231" s="26">
        <f>23000</f>
        <v>23000</v>
      </c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53"/>
      <c r="AR231" s="53"/>
      <c r="AS231" s="53"/>
      <c r="AT231" s="53"/>
      <c r="AU231" s="53"/>
      <c r="AV231" s="53"/>
      <c r="AW231" s="53"/>
      <c r="AX231" s="53"/>
      <c r="AY231" s="53"/>
      <c r="AZ231" s="54"/>
    </row>
    <row r="232" spans="1:52" ht="13" customHeight="1">
      <c r="A232" s="24" t="s">
        <v>25</v>
      </c>
      <c r="B232" s="24" t="s">
        <v>165</v>
      </c>
      <c r="C232" s="26"/>
      <c r="D232" s="39" t="s">
        <v>166</v>
      </c>
      <c r="E232" s="25" t="s">
        <v>142</v>
      </c>
      <c r="F232" s="25"/>
      <c r="G232" s="25"/>
      <c r="H232" s="38"/>
      <c r="I232" s="207" t="s">
        <v>237</v>
      </c>
      <c r="J232" s="199" t="s">
        <v>226</v>
      </c>
      <c r="K232" s="29">
        <f>53492</f>
        <v>53492</v>
      </c>
      <c r="L232" s="31">
        <f>53646</f>
        <v>53646</v>
      </c>
      <c r="M232" s="26">
        <f>54131</f>
        <v>54131</v>
      </c>
      <c r="N232" s="26">
        <f>54582</f>
        <v>54582</v>
      </c>
      <c r="O232" s="26">
        <f>54802</f>
        <v>54802</v>
      </c>
      <c r="P232" s="26">
        <f>54434</f>
        <v>54434</v>
      </c>
      <c r="Q232" s="26">
        <f>54798</f>
        <v>54798</v>
      </c>
      <c r="R232" s="26">
        <f>54774</f>
        <v>54774</v>
      </c>
      <c r="S232" s="26">
        <f>54967</f>
        <v>54967</v>
      </c>
      <c r="T232" s="26">
        <f>55163</f>
        <v>55163</v>
      </c>
      <c r="U232" s="26">
        <f>55360</f>
        <v>55360</v>
      </c>
      <c r="V232" s="26">
        <f>55859</f>
        <v>55859</v>
      </c>
      <c r="W232" s="26"/>
      <c r="X232" s="26"/>
      <c r="Y232" s="26"/>
      <c r="Z232" s="26"/>
      <c r="AA232" s="26">
        <f>56359</f>
        <v>56359</v>
      </c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53"/>
      <c r="AR232" s="53"/>
      <c r="AS232" s="53"/>
      <c r="AT232" s="53"/>
      <c r="AU232" s="53"/>
      <c r="AV232" s="53"/>
      <c r="AW232" s="53"/>
      <c r="AX232" s="53"/>
      <c r="AY232" s="53"/>
      <c r="AZ232" s="54"/>
    </row>
    <row r="233" spans="1:52" ht="13" customHeight="1">
      <c r="A233" s="24" t="s">
        <v>25</v>
      </c>
      <c r="B233" s="24" t="s">
        <v>165</v>
      </c>
      <c r="C233" s="26"/>
      <c r="D233" s="39" t="s">
        <v>166</v>
      </c>
      <c r="E233" s="25" t="s">
        <v>142</v>
      </c>
      <c r="F233" s="25"/>
      <c r="G233" s="25"/>
      <c r="H233" s="38"/>
      <c r="I233" s="208" t="s">
        <v>238</v>
      </c>
      <c r="J233" s="199" t="s">
        <v>226</v>
      </c>
      <c r="K233" s="29">
        <f>43103</f>
        <v>43103</v>
      </c>
      <c r="L233" s="31">
        <f>37605</f>
        <v>37605</v>
      </c>
      <c r="M233" s="26">
        <f>37517</f>
        <v>37517</v>
      </c>
      <c r="N233" s="26">
        <f>39468</f>
        <v>39468</v>
      </c>
      <c r="O233" s="26">
        <f>39440</f>
        <v>39440</v>
      </c>
      <c r="P233" s="26">
        <f>42666</f>
        <v>42666</v>
      </c>
      <c r="Q233" s="26">
        <f>43851</f>
        <v>43851</v>
      </c>
      <c r="R233" s="26">
        <f>44692</f>
        <v>44692</v>
      </c>
      <c r="S233" s="26">
        <f>45043</f>
        <v>45043</v>
      </c>
      <c r="T233" s="26">
        <f>46129</f>
        <v>46129</v>
      </c>
      <c r="U233" s="26">
        <f>47451</f>
        <v>47451</v>
      </c>
      <c r="V233" s="26">
        <f>49531</f>
        <v>49531</v>
      </c>
      <c r="W233" s="26"/>
      <c r="X233" s="26"/>
      <c r="Y233" s="26"/>
      <c r="Z233" s="26"/>
      <c r="AA233" s="26">
        <f>51913</f>
        <v>51913</v>
      </c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53"/>
      <c r="AR233" s="53"/>
      <c r="AS233" s="53"/>
      <c r="AT233" s="53"/>
      <c r="AU233" s="53"/>
      <c r="AV233" s="53"/>
      <c r="AW233" s="53"/>
      <c r="AX233" s="53"/>
      <c r="AY233" s="53"/>
      <c r="AZ233" s="54"/>
    </row>
    <row r="234" spans="1:52" ht="13" customHeight="1">
      <c r="A234" s="24" t="s">
        <v>25</v>
      </c>
      <c r="B234" s="24" t="s">
        <v>165</v>
      </c>
      <c r="C234" s="26"/>
      <c r="D234" s="39" t="s">
        <v>166</v>
      </c>
      <c r="E234" s="25" t="s">
        <v>142</v>
      </c>
      <c r="F234" s="25"/>
      <c r="G234" s="25"/>
      <c r="H234" s="38"/>
      <c r="I234" s="208" t="s">
        <v>241</v>
      </c>
      <c r="J234" s="199" t="s">
        <v>226</v>
      </c>
      <c r="K234" s="29">
        <f>45546</f>
        <v>45546</v>
      </c>
      <c r="L234" s="31">
        <f>36528</f>
        <v>36528</v>
      </c>
      <c r="M234" s="26">
        <f>40017</f>
        <v>40017</v>
      </c>
      <c r="N234" s="26">
        <f>41968</f>
        <v>41968</v>
      </c>
      <c r="O234" s="26">
        <f>41940</f>
        <v>41940</v>
      </c>
      <c r="P234" s="26">
        <f>45366</f>
        <v>45366</v>
      </c>
      <c r="Q234" s="26">
        <f>46651</f>
        <v>46651</v>
      </c>
      <c r="R234" s="26">
        <f>47692</f>
        <v>47692</v>
      </c>
      <c r="S234" s="26">
        <f>48143</f>
        <v>48143</v>
      </c>
      <c r="T234" s="26">
        <f>49329</f>
        <v>49329</v>
      </c>
      <c r="U234" s="26">
        <f>50851</f>
        <v>50851</v>
      </c>
      <c r="V234" s="26">
        <f>53131</f>
        <v>53131</v>
      </c>
      <c r="W234" s="26"/>
      <c r="X234" s="26"/>
      <c r="Y234" s="26"/>
      <c r="Z234" s="26"/>
      <c r="AA234" s="26">
        <f>56313</f>
        <v>56313</v>
      </c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53"/>
      <c r="AR234" s="53"/>
      <c r="AS234" s="53"/>
      <c r="AT234" s="53"/>
      <c r="AU234" s="53"/>
      <c r="AV234" s="53"/>
      <c r="AW234" s="53"/>
      <c r="AX234" s="53"/>
      <c r="AY234" s="53"/>
      <c r="AZ234" s="54"/>
    </row>
    <row r="235" spans="1:52" ht="13" customHeight="1">
      <c r="A235" s="24" t="s">
        <v>25</v>
      </c>
      <c r="B235" s="24" t="s">
        <v>165</v>
      </c>
      <c r="C235" s="26"/>
      <c r="D235" s="39" t="s">
        <v>166</v>
      </c>
      <c r="E235" s="25" t="s">
        <v>142</v>
      </c>
      <c r="F235" s="25"/>
      <c r="G235" s="25"/>
      <c r="H235" s="38"/>
      <c r="I235" s="208" t="s">
        <v>239</v>
      </c>
      <c r="J235" s="199" t="s">
        <v>226</v>
      </c>
      <c r="K235" s="29">
        <f>18170</f>
        <v>18170</v>
      </c>
      <c r="L235" s="31">
        <f>18466</f>
        <v>18466</v>
      </c>
      <c r="M235" s="26">
        <f>14500</f>
        <v>14500</v>
      </c>
      <c r="N235" s="26">
        <f>16000</f>
        <v>16000</v>
      </c>
      <c r="O235" s="26">
        <f>18000</f>
        <v>18000</v>
      </c>
      <c r="P235" s="26">
        <f>19500</f>
        <v>19500</v>
      </c>
      <c r="Q235" s="26">
        <f>20000</f>
        <v>20000</v>
      </c>
      <c r="R235" s="26">
        <f>20200</f>
        <v>20200</v>
      </c>
      <c r="S235" s="26">
        <f>20700</f>
        <v>20700</v>
      </c>
      <c r="T235" s="26">
        <f>21100</f>
        <v>21100</v>
      </c>
      <c r="U235" s="26">
        <f>21600</f>
        <v>21600</v>
      </c>
      <c r="V235" s="26">
        <f>22500</f>
        <v>22500</v>
      </c>
      <c r="W235" s="26"/>
      <c r="X235" s="26"/>
      <c r="Y235" s="26"/>
      <c r="Z235" s="26"/>
      <c r="AA235" s="26">
        <v>23600</v>
      </c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53"/>
      <c r="AR235" s="53"/>
      <c r="AS235" s="53"/>
      <c r="AT235" s="53"/>
      <c r="AU235" s="53"/>
      <c r="AV235" s="53"/>
      <c r="AW235" s="53"/>
      <c r="AX235" s="53"/>
      <c r="AY235" s="53"/>
      <c r="AZ235" s="54"/>
    </row>
    <row r="236" spans="1:52" ht="13" customHeight="1">
      <c r="A236" s="24" t="s">
        <v>25</v>
      </c>
      <c r="B236" s="24" t="s">
        <v>165</v>
      </c>
      <c r="C236" s="26"/>
      <c r="D236" s="39" t="s">
        <v>166</v>
      </c>
      <c r="E236" s="25" t="s">
        <v>142</v>
      </c>
      <c r="F236" s="25"/>
      <c r="G236" s="25"/>
      <c r="H236" s="38"/>
      <c r="I236" s="208" t="s">
        <v>240</v>
      </c>
      <c r="J236" s="199" t="s">
        <v>226</v>
      </c>
      <c r="K236" s="29">
        <f>20613</f>
        <v>20613</v>
      </c>
      <c r="L236" s="31">
        <f>17389</f>
        <v>17389</v>
      </c>
      <c r="M236" s="26">
        <f>17000</f>
        <v>17000</v>
      </c>
      <c r="N236" s="26">
        <f>18500</f>
        <v>18500</v>
      </c>
      <c r="O236" s="26">
        <f>20500</f>
        <v>20500</v>
      </c>
      <c r="P236" s="26">
        <f>22200</f>
        <v>22200</v>
      </c>
      <c r="Q236" s="26">
        <f>22800</f>
        <v>22800</v>
      </c>
      <c r="R236" s="26">
        <f>23200</f>
        <v>23200</v>
      </c>
      <c r="S236" s="26">
        <f>23800</f>
        <v>23800</v>
      </c>
      <c r="T236" s="26">
        <f>24300</f>
        <v>24300</v>
      </c>
      <c r="U236" s="26">
        <f>25000</f>
        <v>25000</v>
      </c>
      <c r="V236" s="26">
        <f>26100</f>
        <v>26100</v>
      </c>
      <c r="W236" s="26"/>
      <c r="X236" s="26"/>
      <c r="Y236" s="26"/>
      <c r="Z236" s="26"/>
      <c r="AA236" s="26">
        <f>28000</f>
        <v>28000</v>
      </c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53"/>
      <c r="AR236" s="53"/>
      <c r="AS236" s="53"/>
      <c r="AT236" s="53"/>
      <c r="AU236" s="53"/>
      <c r="AV236" s="53"/>
      <c r="AW236" s="53"/>
      <c r="AX236" s="53"/>
      <c r="AY236" s="53"/>
      <c r="AZ236" s="54"/>
    </row>
    <row r="237" spans="1:52" ht="13" customHeight="1">
      <c r="A237" s="24" t="s">
        <v>25</v>
      </c>
      <c r="B237" s="24" t="s">
        <v>165</v>
      </c>
      <c r="C237" s="26"/>
      <c r="D237" s="39" t="s">
        <v>166</v>
      </c>
      <c r="E237" s="25" t="s">
        <v>140</v>
      </c>
      <c r="F237" s="25"/>
      <c r="G237" s="25"/>
      <c r="H237" s="38"/>
      <c r="I237" s="204" t="s">
        <v>242</v>
      </c>
      <c r="J237" s="199" t="s">
        <v>100</v>
      </c>
      <c r="K237" s="29">
        <f>7403.7</f>
        <v>7403.7</v>
      </c>
      <c r="L237" s="31">
        <f>7418.7</f>
        <v>7418.7</v>
      </c>
      <c r="M237" s="26">
        <f>7418.7</f>
        <v>7418.7</v>
      </c>
      <c r="N237" s="26">
        <f>7452.7</f>
        <v>7452.7</v>
      </c>
      <c r="O237" s="26">
        <v>8367.7000000000007</v>
      </c>
      <c r="P237" s="26">
        <f>10057.7</f>
        <v>10057.700000000001</v>
      </c>
      <c r="Q237" s="26">
        <v>15347.7</v>
      </c>
      <c r="R237" s="26"/>
      <c r="S237" s="26"/>
      <c r="T237" s="26"/>
      <c r="U237" s="26"/>
      <c r="V237" s="26">
        <f>17257.7</f>
        <v>17257.7</v>
      </c>
      <c r="W237" s="26"/>
      <c r="X237" s="26"/>
      <c r="Y237" s="26"/>
      <c r="Z237" s="26"/>
      <c r="AA237" s="26">
        <f>17257.7</f>
        <v>17257.7</v>
      </c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53"/>
      <c r="AR237" s="53"/>
      <c r="AS237" s="53"/>
      <c r="AT237" s="53"/>
      <c r="AU237" s="53"/>
      <c r="AV237" s="53"/>
      <c r="AW237" s="53"/>
      <c r="AX237" s="53"/>
      <c r="AY237" s="53"/>
      <c r="AZ237" s="54"/>
    </row>
    <row r="238" spans="1:52" ht="13" customHeight="1">
      <c r="A238" s="24" t="s">
        <v>25</v>
      </c>
      <c r="B238" s="24" t="s">
        <v>165</v>
      </c>
      <c r="C238" s="26"/>
      <c r="D238" s="39" t="s">
        <v>166</v>
      </c>
      <c r="E238" s="25" t="s">
        <v>140</v>
      </c>
      <c r="F238" s="25"/>
      <c r="G238" s="25"/>
      <c r="H238" s="38"/>
      <c r="I238" s="198" t="s">
        <v>125</v>
      </c>
      <c r="J238" s="199" t="s">
        <v>100</v>
      </c>
      <c r="K238" s="29">
        <f>5508.8</f>
        <v>5508.8</v>
      </c>
      <c r="L238" s="31">
        <f>6763.6</f>
        <v>6763.6</v>
      </c>
      <c r="M238" s="26">
        <f>7304.3</f>
        <v>7304.3</v>
      </c>
      <c r="N238" s="26">
        <f>7410.5</f>
        <v>7410.5</v>
      </c>
      <c r="O238" s="26">
        <f>7851.5</f>
        <v>7851.5</v>
      </c>
      <c r="P238" s="26">
        <f>9496.5</f>
        <v>9496.5</v>
      </c>
      <c r="Q238" s="26">
        <f>12755.5</f>
        <v>12755.5</v>
      </c>
      <c r="R238" s="26"/>
      <c r="S238" s="26"/>
      <c r="T238" s="26"/>
      <c r="U238" s="26"/>
      <c r="V238" s="26">
        <f>17171.5</f>
        <v>17171.5</v>
      </c>
      <c r="W238" s="26"/>
      <c r="X238" s="26"/>
      <c r="Y238" s="26"/>
      <c r="Z238" s="26"/>
      <c r="AA238" s="26">
        <f>17171.5</f>
        <v>17171.5</v>
      </c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53"/>
      <c r="AR238" s="53"/>
      <c r="AS238" s="53"/>
      <c r="AT238" s="53"/>
      <c r="AU238" s="53"/>
      <c r="AV238" s="53"/>
      <c r="AW238" s="53"/>
      <c r="AX238" s="53"/>
      <c r="AY238" s="53"/>
      <c r="AZ238" s="54"/>
    </row>
    <row r="239" spans="1:52" ht="13" customHeight="1">
      <c r="A239" s="24" t="s">
        <v>25</v>
      </c>
      <c r="B239" s="24" t="s">
        <v>165</v>
      </c>
      <c r="C239" s="26"/>
      <c r="D239" s="39" t="s">
        <v>166</v>
      </c>
      <c r="E239" s="25" t="s">
        <v>140</v>
      </c>
      <c r="F239" s="25"/>
      <c r="G239" s="25"/>
      <c r="H239" s="38"/>
      <c r="I239" s="198" t="s">
        <v>243</v>
      </c>
      <c r="J239" s="199" t="s">
        <v>100</v>
      </c>
      <c r="K239" s="29">
        <f>5556.6</f>
        <v>5556.6</v>
      </c>
      <c r="L239" s="31">
        <f>5696.3</f>
        <v>5696.3</v>
      </c>
      <c r="M239" s="26">
        <f>5919.6</f>
        <v>5919.6</v>
      </c>
      <c r="N239" s="26">
        <f>6171.7</f>
        <v>6171.7</v>
      </c>
      <c r="O239" s="34">
        <f>6368</f>
        <v>6368</v>
      </c>
      <c r="P239" s="26">
        <f>6570.4</f>
        <v>6570.4</v>
      </c>
      <c r="Q239" s="26">
        <f>6779.4</f>
        <v>6779.4</v>
      </c>
      <c r="R239" s="26"/>
      <c r="S239" s="26"/>
      <c r="T239" s="26"/>
      <c r="U239" s="26"/>
      <c r="V239" s="26">
        <f>7948.3</f>
        <v>7948.3</v>
      </c>
      <c r="W239" s="26"/>
      <c r="X239" s="26"/>
      <c r="Y239" s="26"/>
      <c r="Z239" s="26"/>
      <c r="AA239" s="26">
        <f>9353.3</f>
        <v>9353.2999999999993</v>
      </c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53"/>
      <c r="AR239" s="53"/>
      <c r="AS239" s="53"/>
      <c r="AT239" s="53"/>
      <c r="AU239" s="53"/>
      <c r="AV239" s="53"/>
      <c r="AW239" s="53"/>
      <c r="AX239" s="53"/>
      <c r="AY239" s="53"/>
      <c r="AZ239" s="54"/>
    </row>
    <row r="240" spans="1:52" ht="13" customHeight="1">
      <c r="A240" s="24" t="s">
        <v>25</v>
      </c>
      <c r="B240" s="24" t="s">
        <v>165</v>
      </c>
      <c r="C240" s="26"/>
      <c r="D240" s="39" t="s">
        <v>166</v>
      </c>
      <c r="E240" s="25" t="s">
        <v>140</v>
      </c>
      <c r="F240" s="25"/>
      <c r="G240" s="25"/>
      <c r="H240" s="38"/>
      <c r="I240" s="198" t="s">
        <v>244</v>
      </c>
      <c r="J240" s="199" t="s">
        <v>100</v>
      </c>
      <c r="K240" s="29">
        <f>-17.8</f>
        <v>-17.8</v>
      </c>
      <c r="L240" s="31">
        <f>1067.3</f>
        <v>1067.3</v>
      </c>
      <c r="M240" s="26">
        <f>1384.7</f>
        <v>1384.7</v>
      </c>
      <c r="N240" s="26">
        <f>1238.8</f>
        <v>1238.8</v>
      </c>
      <c r="O240" s="26">
        <f>1483.5</f>
        <v>1483.5</v>
      </c>
      <c r="P240" s="26">
        <f>2926.1</f>
        <v>2926.1</v>
      </c>
      <c r="Q240" s="26">
        <f>5976.1</f>
        <v>5976.1</v>
      </c>
      <c r="R240" s="26"/>
      <c r="S240" s="26"/>
      <c r="T240" s="26"/>
      <c r="U240" s="26"/>
      <c r="V240" s="26">
        <f>9223.2</f>
        <v>9223.2000000000007</v>
      </c>
      <c r="W240" s="26"/>
      <c r="X240" s="26"/>
      <c r="Y240" s="26"/>
      <c r="Z240" s="26"/>
      <c r="AA240" s="26">
        <v>7818.2</v>
      </c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53"/>
      <c r="AR240" s="53"/>
      <c r="AS240" s="53"/>
      <c r="AT240" s="53"/>
      <c r="AU240" s="53"/>
      <c r="AV240" s="53"/>
      <c r="AW240" s="53"/>
      <c r="AX240" s="53"/>
      <c r="AY240" s="53"/>
      <c r="AZ240" s="54"/>
    </row>
    <row r="241" spans="1:52" ht="13" customHeight="1">
      <c r="A241" s="24" t="s">
        <v>25</v>
      </c>
      <c r="B241" s="24" t="s">
        <v>165</v>
      </c>
      <c r="C241" s="26"/>
      <c r="D241" s="39" t="s">
        <v>166</v>
      </c>
      <c r="E241" s="25" t="s">
        <v>142</v>
      </c>
      <c r="F241" s="25"/>
      <c r="G241" s="25"/>
      <c r="H241" s="38"/>
      <c r="I241" s="204" t="s">
        <v>242</v>
      </c>
      <c r="J241" s="199" t="s">
        <v>100</v>
      </c>
      <c r="K241" s="29">
        <f>7403.7</f>
        <v>7403.7</v>
      </c>
      <c r="L241" s="31">
        <f>7418.7</f>
        <v>7418.7</v>
      </c>
      <c r="M241" s="26">
        <f>7418.7</f>
        <v>7418.7</v>
      </c>
      <c r="N241" s="26">
        <f>7452.7</f>
        <v>7452.7</v>
      </c>
      <c r="O241" s="26">
        <f>8367.7</f>
        <v>8367.7000000000007</v>
      </c>
      <c r="P241" s="26">
        <f>11389.7</f>
        <v>11389.7</v>
      </c>
      <c r="Q241" s="26">
        <f>16729.7</f>
        <v>16729.7</v>
      </c>
      <c r="R241" s="26"/>
      <c r="S241" s="26"/>
      <c r="T241" s="26"/>
      <c r="U241" s="26"/>
      <c r="V241" s="26">
        <f>20607.7</f>
        <v>20607.7</v>
      </c>
      <c r="W241" s="26"/>
      <c r="X241" s="26"/>
      <c r="Y241" s="26"/>
      <c r="Z241" s="26"/>
      <c r="AA241" s="26">
        <f>20607.7</f>
        <v>20607.7</v>
      </c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53"/>
      <c r="AR241" s="53"/>
      <c r="AS241" s="53"/>
      <c r="AT241" s="53"/>
      <c r="AU241" s="53"/>
      <c r="AV241" s="53"/>
      <c r="AW241" s="53"/>
      <c r="AX241" s="53"/>
      <c r="AY241" s="53"/>
      <c r="AZ241" s="54"/>
    </row>
    <row r="242" spans="1:52" ht="13" customHeight="1">
      <c r="A242" s="24" t="s">
        <v>25</v>
      </c>
      <c r="B242" s="24" t="s">
        <v>165</v>
      </c>
      <c r="C242" s="26"/>
      <c r="D242" s="39" t="s">
        <v>166</v>
      </c>
      <c r="E242" s="25" t="s">
        <v>142</v>
      </c>
      <c r="F242" s="25"/>
      <c r="G242" s="25"/>
      <c r="H242" s="38"/>
      <c r="I242" s="198" t="s">
        <v>125</v>
      </c>
      <c r="J242" s="199" t="s">
        <v>100</v>
      </c>
      <c r="K242" s="29">
        <f>5508.8</f>
        <v>5508.8</v>
      </c>
      <c r="L242" s="31">
        <f>6763.6</f>
        <v>6763.6</v>
      </c>
      <c r="M242" s="26">
        <f>7304.3</f>
        <v>7304.3</v>
      </c>
      <c r="N242" s="26">
        <f>7410.5</f>
        <v>7410.5</v>
      </c>
      <c r="O242" s="26">
        <f>7851.5</f>
        <v>7851.5</v>
      </c>
      <c r="P242" s="26">
        <f>10186.1</f>
        <v>10186.1</v>
      </c>
      <c r="Q242" s="26">
        <f>14077.5</f>
        <v>14077.5</v>
      </c>
      <c r="R242" s="26"/>
      <c r="S242" s="26"/>
      <c r="T242" s="26"/>
      <c r="U242" s="26"/>
      <c r="V242" s="26">
        <f>20546.5</f>
        <v>20546.5</v>
      </c>
      <c r="W242" s="26"/>
      <c r="X242" s="26"/>
      <c r="Y242" s="26"/>
      <c r="Z242" s="26"/>
      <c r="AA242" s="26">
        <f>20546.5</f>
        <v>20546.5</v>
      </c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53"/>
      <c r="AR242" s="53"/>
      <c r="AS242" s="53"/>
      <c r="AT242" s="53"/>
      <c r="AU242" s="53"/>
      <c r="AV242" s="53"/>
      <c r="AW242" s="53"/>
      <c r="AX242" s="53"/>
      <c r="AY242" s="53"/>
      <c r="AZ242" s="54"/>
    </row>
    <row r="243" spans="1:52" ht="13" customHeight="1">
      <c r="A243" s="24" t="s">
        <v>25</v>
      </c>
      <c r="B243" s="24" t="s">
        <v>165</v>
      </c>
      <c r="C243" s="26"/>
      <c r="D243" s="39" t="s">
        <v>166</v>
      </c>
      <c r="E243" s="25" t="s">
        <v>142</v>
      </c>
      <c r="F243" s="25"/>
      <c r="G243" s="25"/>
      <c r="H243" s="38"/>
      <c r="I243" s="198" t="s">
        <v>245</v>
      </c>
      <c r="J243" s="199" t="s">
        <v>100</v>
      </c>
      <c r="K243" s="29">
        <f>5556.6</f>
        <v>5556.6</v>
      </c>
      <c r="L243" s="31">
        <f>5696.3</f>
        <v>5696.3</v>
      </c>
      <c r="M243" s="26">
        <f>5947.3</f>
        <v>5947.3</v>
      </c>
      <c r="N243" s="26">
        <f>6240.5</f>
        <v>6240.5</v>
      </c>
      <c r="O243" s="26">
        <f>6489.1</f>
        <v>6489.1</v>
      </c>
      <c r="P243" s="26">
        <f>6761.9</f>
        <v>6761.9</v>
      </c>
      <c r="Q243" s="26">
        <f>7046.6</f>
        <v>7046.6</v>
      </c>
      <c r="R243" s="26"/>
      <c r="S243" s="26"/>
      <c r="T243" s="26"/>
      <c r="U243" s="26"/>
      <c r="V243" s="34">
        <f>8684</f>
        <v>8684</v>
      </c>
      <c r="W243" s="26"/>
      <c r="X243" s="26"/>
      <c r="Y243" s="26"/>
      <c r="Z243" s="26"/>
      <c r="AA243" s="26">
        <f>10745.8</f>
        <v>10745.8</v>
      </c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53"/>
      <c r="AR243" s="53"/>
      <c r="AS243" s="53"/>
      <c r="AT243" s="53"/>
      <c r="AU243" s="53"/>
      <c r="AV243" s="53"/>
      <c r="AW243" s="53"/>
      <c r="AX243" s="53"/>
      <c r="AY243" s="53"/>
      <c r="AZ243" s="54"/>
    </row>
    <row r="244" spans="1:52" ht="13" customHeight="1">
      <c r="A244" s="24" t="s">
        <v>25</v>
      </c>
      <c r="B244" s="24" t="s">
        <v>165</v>
      </c>
      <c r="C244" s="26"/>
      <c r="D244" s="39" t="s">
        <v>166</v>
      </c>
      <c r="E244" s="25" t="s">
        <v>142</v>
      </c>
      <c r="F244" s="25"/>
      <c r="G244" s="25"/>
      <c r="H244" s="38"/>
      <c r="I244" s="198" t="s">
        <v>244</v>
      </c>
      <c r="J244" s="199" t="s">
        <v>100</v>
      </c>
      <c r="K244" s="29">
        <f>-17.8</f>
        <v>-17.8</v>
      </c>
      <c r="L244" s="31">
        <f>1067.3</f>
        <v>1067.3</v>
      </c>
      <c r="M244" s="26">
        <f>1357</f>
        <v>1357</v>
      </c>
      <c r="N244" s="26">
        <f>1170</f>
        <v>1170</v>
      </c>
      <c r="O244" s="26">
        <f>1362.4</f>
        <v>1362.4</v>
      </c>
      <c r="P244" s="26">
        <f>3424.6</f>
        <v>3424.6</v>
      </c>
      <c r="Q244" s="26">
        <f>7030.9</f>
        <v>7030.9</v>
      </c>
      <c r="R244" s="26"/>
      <c r="S244" s="26"/>
      <c r="T244" s="26"/>
      <c r="U244" s="26"/>
      <c r="V244" s="26">
        <f>11862.5</f>
        <v>11862.5</v>
      </c>
      <c r="W244" s="26"/>
      <c r="X244" s="26"/>
      <c r="Y244" s="26"/>
      <c r="Z244" s="26"/>
      <c r="AA244" s="26">
        <f>9800.7</f>
        <v>9800.7000000000007</v>
      </c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53"/>
      <c r="AR244" s="53"/>
      <c r="AS244" s="53"/>
      <c r="AT244" s="53"/>
      <c r="AU244" s="53"/>
      <c r="AV244" s="53"/>
      <c r="AW244" s="53"/>
      <c r="AX244" s="53"/>
      <c r="AY244" s="53"/>
      <c r="AZ244" s="54"/>
    </row>
    <row r="245" spans="1:52" ht="13" customHeight="1">
      <c r="A245" s="24" t="s">
        <v>25</v>
      </c>
      <c r="B245" s="24" t="s">
        <v>165</v>
      </c>
      <c r="C245" s="26"/>
      <c r="D245" s="39" t="s">
        <v>166</v>
      </c>
      <c r="E245" s="25" t="s">
        <v>140</v>
      </c>
      <c r="F245" s="25"/>
      <c r="G245" s="25"/>
      <c r="H245" s="38"/>
      <c r="I245" s="204" t="s">
        <v>246</v>
      </c>
      <c r="J245" s="199" t="s">
        <v>100</v>
      </c>
      <c r="K245" s="29">
        <f>3374.7</f>
        <v>3374.7</v>
      </c>
      <c r="L245" s="31">
        <f>3374.7</f>
        <v>3374.7</v>
      </c>
      <c r="M245" s="26">
        <f>3374.7</f>
        <v>3374.7</v>
      </c>
      <c r="N245" s="26">
        <f>3374.7</f>
        <v>3374.7</v>
      </c>
      <c r="O245" s="26">
        <f>3864.7</f>
        <v>3864.7</v>
      </c>
      <c r="P245" s="26">
        <f>5354.7</f>
        <v>5354.7</v>
      </c>
      <c r="Q245" s="26">
        <f>9744.7</f>
        <v>9744.7000000000007</v>
      </c>
      <c r="R245" s="26"/>
      <c r="S245" s="26"/>
      <c r="T245" s="26"/>
      <c r="U245" s="26"/>
      <c r="V245" s="26">
        <f>10754.7</f>
        <v>10754.7</v>
      </c>
      <c r="W245" s="26"/>
      <c r="X245" s="26"/>
      <c r="Y245" s="26"/>
      <c r="Z245" s="26"/>
      <c r="AA245" s="26">
        <f>10754.7</f>
        <v>10754.7</v>
      </c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53"/>
      <c r="AR245" s="53"/>
      <c r="AS245" s="53"/>
      <c r="AT245" s="53"/>
      <c r="AU245" s="53"/>
      <c r="AV245" s="53"/>
      <c r="AW245" s="53"/>
      <c r="AX245" s="53"/>
      <c r="AY245" s="53"/>
      <c r="AZ245" s="54"/>
    </row>
    <row r="246" spans="1:52" ht="13" customHeight="1">
      <c r="A246" s="24" t="s">
        <v>25</v>
      </c>
      <c r="B246" s="24" t="s">
        <v>165</v>
      </c>
      <c r="C246" s="26"/>
      <c r="D246" s="39" t="s">
        <v>166</v>
      </c>
      <c r="E246" s="25" t="s">
        <v>140</v>
      </c>
      <c r="F246" s="25"/>
      <c r="G246" s="25"/>
      <c r="H246" s="38"/>
      <c r="I246" s="198" t="s">
        <v>126</v>
      </c>
      <c r="J246" s="199" t="s">
        <v>100</v>
      </c>
      <c r="K246" s="29">
        <f>1864.3</f>
        <v>1864.3</v>
      </c>
      <c r="L246" s="31">
        <f>2900.5</f>
        <v>2900.5</v>
      </c>
      <c r="M246" s="26">
        <f>3325.6</f>
        <v>3325.6</v>
      </c>
      <c r="N246" s="34">
        <f>3348</f>
        <v>3348</v>
      </c>
      <c r="O246" s="34">
        <f>3568</f>
        <v>3568</v>
      </c>
      <c r="P246" s="34">
        <v>4934</v>
      </c>
      <c r="Q246" s="34">
        <f>7639</f>
        <v>7639</v>
      </c>
      <c r="R246" s="26"/>
      <c r="S246" s="26"/>
      <c r="T246" s="26"/>
      <c r="U246" s="26"/>
      <c r="V246" s="34">
        <f>10705</f>
        <v>10705</v>
      </c>
      <c r="W246" s="26"/>
      <c r="X246" s="26"/>
      <c r="Y246" s="26"/>
      <c r="Z246" s="26"/>
      <c r="AA246" s="34">
        <f>10705</f>
        <v>10705</v>
      </c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53"/>
      <c r="AR246" s="53"/>
      <c r="AS246" s="53"/>
      <c r="AT246" s="53"/>
      <c r="AU246" s="53"/>
      <c r="AV246" s="53"/>
      <c r="AW246" s="53"/>
      <c r="AX246" s="53"/>
      <c r="AY246" s="53"/>
      <c r="AZ246" s="54"/>
    </row>
    <row r="247" spans="1:52" ht="13" customHeight="1">
      <c r="A247" s="24" t="s">
        <v>25</v>
      </c>
      <c r="B247" s="24" t="s">
        <v>165</v>
      </c>
      <c r="C247" s="26"/>
      <c r="D247" s="39" t="s">
        <v>166</v>
      </c>
      <c r="E247" s="25" t="s">
        <v>140</v>
      </c>
      <c r="F247" s="25"/>
      <c r="G247" s="25"/>
      <c r="H247" s="38"/>
      <c r="I247" s="198" t="s">
        <v>247</v>
      </c>
      <c r="J247" s="199" t="s">
        <v>100</v>
      </c>
      <c r="K247" s="29">
        <f>2123.8</f>
        <v>2123.8000000000002</v>
      </c>
      <c r="L247" s="31">
        <f>2268.5</f>
        <v>2268.5</v>
      </c>
      <c r="M247" s="26">
        <f>2339.5</f>
        <v>2339.5</v>
      </c>
      <c r="N247" s="26">
        <f>2429.1</f>
        <v>2429.1</v>
      </c>
      <c r="O247" s="34">
        <f>2498</f>
        <v>2498</v>
      </c>
      <c r="P247" s="34">
        <f>2570</f>
        <v>2570</v>
      </c>
      <c r="Q247" s="26">
        <f>2644.6</f>
        <v>2644.6</v>
      </c>
      <c r="R247" s="26"/>
      <c r="S247" s="26"/>
      <c r="T247" s="26"/>
      <c r="U247" s="26"/>
      <c r="V247" s="26">
        <f>3059.6</f>
        <v>3059.6</v>
      </c>
      <c r="W247" s="26"/>
      <c r="X247" s="26"/>
      <c r="Y247" s="26"/>
      <c r="Z247" s="26"/>
      <c r="AA247" s="26">
        <f>3555.2</f>
        <v>3555.2</v>
      </c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53"/>
      <c r="AR247" s="53"/>
      <c r="AS247" s="53"/>
      <c r="AT247" s="53"/>
      <c r="AU247" s="53"/>
      <c r="AV247" s="53"/>
      <c r="AW247" s="53"/>
      <c r="AX247" s="53"/>
      <c r="AY247" s="53"/>
      <c r="AZ247" s="54"/>
    </row>
    <row r="248" spans="1:52" ht="13" customHeight="1">
      <c r="A248" s="24" t="s">
        <v>25</v>
      </c>
      <c r="B248" s="24" t="s">
        <v>165</v>
      </c>
      <c r="C248" s="26"/>
      <c r="D248" s="39" t="s">
        <v>166</v>
      </c>
      <c r="E248" s="25" t="s">
        <v>140</v>
      </c>
      <c r="F248" s="25"/>
      <c r="G248" s="25"/>
      <c r="H248" s="38"/>
      <c r="I248" s="198" t="s">
        <v>248</v>
      </c>
      <c r="J248" s="199" t="s">
        <v>100</v>
      </c>
      <c r="K248" s="29">
        <f>-259.5</f>
        <v>-259.5</v>
      </c>
      <c r="L248" s="55">
        <f>632</f>
        <v>632</v>
      </c>
      <c r="M248" s="26">
        <f>986.1</f>
        <v>986.1</v>
      </c>
      <c r="N248" s="26">
        <f>918.9</f>
        <v>918.9</v>
      </c>
      <c r="O248" s="34">
        <f>1070</f>
        <v>1070</v>
      </c>
      <c r="P248" s="34">
        <f>2364</f>
        <v>2364</v>
      </c>
      <c r="Q248" s="26">
        <f>4994.4</f>
        <v>4994.3999999999996</v>
      </c>
      <c r="R248" s="26"/>
      <c r="S248" s="26"/>
      <c r="T248" s="26"/>
      <c r="U248" s="26"/>
      <c r="V248" s="26">
        <f>7645.4</f>
        <v>7645.4</v>
      </c>
      <c r="W248" s="26"/>
      <c r="X248" s="26"/>
      <c r="Y248" s="26"/>
      <c r="Z248" s="26"/>
      <c r="AA248" s="26">
        <v>7149.8</v>
      </c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53"/>
      <c r="AR248" s="53"/>
      <c r="AS248" s="53"/>
      <c r="AT248" s="53"/>
      <c r="AU248" s="53"/>
      <c r="AV248" s="53"/>
      <c r="AW248" s="53"/>
      <c r="AX248" s="53"/>
      <c r="AY248" s="53"/>
      <c r="AZ248" s="54"/>
    </row>
    <row r="249" spans="1:52" ht="13" customHeight="1">
      <c r="A249" s="24" t="s">
        <v>25</v>
      </c>
      <c r="B249" s="24" t="s">
        <v>165</v>
      </c>
      <c r="C249" s="26"/>
      <c r="D249" s="39" t="s">
        <v>166</v>
      </c>
      <c r="E249" s="25" t="s">
        <v>142</v>
      </c>
      <c r="F249" s="25"/>
      <c r="G249" s="25"/>
      <c r="H249" s="38"/>
      <c r="I249" s="204" t="s">
        <v>246</v>
      </c>
      <c r="J249" s="199" t="s">
        <v>100</v>
      </c>
      <c r="K249" s="29">
        <f>3374.7</f>
        <v>3374.7</v>
      </c>
      <c r="L249" s="31">
        <f>3374.7</f>
        <v>3374.7</v>
      </c>
      <c r="M249" s="26">
        <f>3374.7</f>
        <v>3374.7</v>
      </c>
      <c r="N249" s="26">
        <f>3374.7</f>
        <v>3374.7</v>
      </c>
      <c r="O249" s="26">
        <f>3864.7</f>
        <v>3864.7</v>
      </c>
      <c r="P249" s="26">
        <f>5754.7</f>
        <v>5754.7</v>
      </c>
      <c r="Q249" s="26">
        <f>10144.7</f>
        <v>10144.700000000001</v>
      </c>
      <c r="R249" s="26"/>
      <c r="S249" s="26"/>
      <c r="T249" s="26"/>
      <c r="U249" s="26"/>
      <c r="V249" s="26">
        <f>12502.7</f>
        <v>12502.7</v>
      </c>
      <c r="W249" s="26"/>
      <c r="X249" s="26"/>
      <c r="Y249" s="26"/>
      <c r="Z249" s="26"/>
      <c r="AA249" s="26">
        <f>12502.7</f>
        <v>12502.7</v>
      </c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53"/>
      <c r="AR249" s="53"/>
      <c r="AS249" s="53"/>
      <c r="AT249" s="53"/>
      <c r="AU249" s="53"/>
      <c r="AV249" s="53"/>
      <c r="AW249" s="53"/>
      <c r="AX249" s="53"/>
      <c r="AY249" s="53"/>
      <c r="AZ249" s="54"/>
    </row>
    <row r="250" spans="1:52" ht="13" customHeight="1">
      <c r="A250" s="24" t="s">
        <v>25</v>
      </c>
      <c r="B250" s="24" t="s">
        <v>165</v>
      </c>
      <c r="C250" s="26"/>
      <c r="D250" s="39" t="s">
        <v>166</v>
      </c>
      <c r="E250" s="25" t="s">
        <v>142</v>
      </c>
      <c r="F250" s="25"/>
      <c r="G250" s="25"/>
      <c r="H250" s="38"/>
      <c r="I250" s="198" t="s">
        <v>126</v>
      </c>
      <c r="J250" s="199" t="s">
        <v>100</v>
      </c>
      <c r="K250" s="29">
        <f>1864.3</f>
        <v>1864.3</v>
      </c>
      <c r="L250" s="31">
        <f>2900.5</f>
        <v>2900.5</v>
      </c>
      <c r="M250" s="26">
        <f>3325.6</f>
        <v>3325.6</v>
      </c>
      <c r="N250" s="34">
        <f>3348</f>
        <v>3348</v>
      </c>
      <c r="O250" s="26">
        <f>3568</f>
        <v>3568</v>
      </c>
      <c r="P250" s="26">
        <f>5189</f>
        <v>5189</v>
      </c>
      <c r="Q250" s="26">
        <f>7999</f>
        <v>7999</v>
      </c>
      <c r="R250" s="26"/>
      <c r="S250" s="26"/>
      <c r="T250" s="26"/>
      <c r="U250" s="26"/>
      <c r="V250" s="26">
        <f>12483</f>
        <v>12483</v>
      </c>
      <c r="W250" s="26"/>
      <c r="X250" s="26"/>
      <c r="Y250" s="26"/>
      <c r="Z250" s="26"/>
      <c r="AA250" s="26">
        <f>12483</f>
        <v>12483</v>
      </c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53"/>
      <c r="AR250" s="53"/>
      <c r="AS250" s="53"/>
      <c r="AT250" s="53"/>
      <c r="AU250" s="53"/>
      <c r="AV250" s="53"/>
      <c r="AW250" s="53"/>
      <c r="AX250" s="53"/>
      <c r="AY250" s="53"/>
      <c r="AZ250" s="54"/>
    </row>
    <row r="251" spans="1:52" ht="13" customHeight="1">
      <c r="A251" s="24" t="s">
        <v>25</v>
      </c>
      <c r="B251" s="24" t="s">
        <v>165</v>
      </c>
      <c r="C251" s="26"/>
      <c r="D251" s="39" t="s">
        <v>166</v>
      </c>
      <c r="E251" s="25" t="s">
        <v>142</v>
      </c>
      <c r="F251" s="25"/>
      <c r="G251" s="25"/>
      <c r="H251" s="38"/>
      <c r="I251" s="198" t="s">
        <v>247</v>
      </c>
      <c r="J251" s="199" t="s">
        <v>100</v>
      </c>
      <c r="K251" s="29">
        <f>2123.8</f>
        <v>2123.8000000000002</v>
      </c>
      <c r="L251" s="31">
        <f>2268.5</f>
        <v>2268.5</v>
      </c>
      <c r="M251" s="26">
        <f>2350.1</f>
        <v>2350.1</v>
      </c>
      <c r="N251" s="26">
        <f>2455.2</f>
        <v>2455.1999999999998</v>
      </c>
      <c r="O251" s="26">
        <f>2540.8</f>
        <v>2540.8000000000002</v>
      </c>
      <c r="P251" s="26">
        <f>2638.7</f>
        <v>2638.7</v>
      </c>
      <c r="Q251" s="26">
        <f>2741</f>
        <v>2741</v>
      </c>
      <c r="R251" s="26"/>
      <c r="S251" s="26"/>
      <c r="T251" s="26"/>
      <c r="U251" s="26"/>
      <c r="V251" s="34">
        <f>3327.9</f>
        <v>3327.9</v>
      </c>
      <c r="W251" s="26"/>
      <c r="X251" s="26"/>
      <c r="Y251" s="26"/>
      <c r="Z251" s="26"/>
      <c r="AA251" s="26">
        <f>4064.5</f>
        <v>4064.5</v>
      </c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53"/>
      <c r="AR251" s="53"/>
      <c r="AS251" s="53"/>
      <c r="AT251" s="53"/>
      <c r="AU251" s="53"/>
      <c r="AV251" s="53"/>
      <c r="AW251" s="53"/>
      <c r="AX251" s="53"/>
      <c r="AY251" s="53"/>
      <c r="AZ251" s="54"/>
    </row>
    <row r="252" spans="1:52" ht="13" customHeight="1">
      <c r="A252" s="24" t="s">
        <v>25</v>
      </c>
      <c r="B252" s="24" t="s">
        <v>165</v>
      </c>
      <c r="C252" s="26"/>
      <c r="D252" s="39" t="s">
        <v>166</v>
      </c>
      <c r="E252" s="25" t="s">
        <v>142</v>
      </c>
      <c r="F252" s="25"/>
      <c r="G252" s="25"/>
      <c r="H252" s="38"/>
      <c r="I252" s="198" t="s">
        <v>248</v>
      </c>
      <c r="J252" s="199" t="s">
        <v>100</v>
      </c>
      <c r="K252" s="29">
        <f>-259.5</f>
        <v>-259.5</v>
      </c>
      <c r="L252" s="55">
        <f>632</f>
        <v>632</v>
      </c>
      <c r="M252" s="26">
        <f>975.5</f>
        <v>975.5</v>
      </c>
      <c r="N252" s="26">
        <f>892.8</f>
        <v>892.8</v>
      </c>
      <c r="O252" s="26">
        <f>1027.2</f>
        <v>1027.2</v>
      </c>
      <c r="P252" s="26">
        <f>2550.3</f>
        <v>2550.3000000000002</v>
      </c>
      <c r="Q252" s="26">
        <f>5258</f>
        <v>5258</v>
      </c>
      <c r="R252" s="26"/>
      <c r="S252" s="26"/>
      <c r="T252" s="26"/>
      <c r="U252" s="26"/>
      <c r="V252" s="26">
        <f>9155.1</f>
        <v>9155.1</v>
      </c>
      <c r="W252" s="26"/>
      <c r="X252" s="26"/>
      <c r="Y252" s="26"/>
      <c r="Z252" s="26"/>
      <c r="AA252" s="26">
        <f>8418.5</f>
        <v>8418.5</v>
      </c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53"/>
      <c r="AR252" s="53"/>
      <c r="AS252" s="53"/>
      <c r="AT252" s="53"/>
      <c r="AU252" s="53"/>
      <c r="AV252" s="53"/>
      <c r="AW252" s="53"/>
      <c r="AX252" s="53"/>
      <c r="AY252" s="53"/>
      <c r="AZ252" s="54"/>
    </row>
    <row r="253" spans="1:52" ht="13" customHeight="1">
      <c r="A253" s="24" t="s">
        <v>25</v>
      </c>
      <c r="B253" s="24" t="s">
        <v>165</v>
      </c>
      <c r="C253" s="26"/>
      <c r="D253" s="39" t="s">
        <v>166</v>
      </c>
      <c r="E253" s="25" t="s">
        <v>140</v>
      </c>
      <c r="F253" s="25"/>
      <c r="G253" s="25"/>
      <c r="H253" s="38"/>
      <c r="I253" s="204" t="s">
        <v>249</v>
      </c>
      <c r="J253" s="199" t="s">
        <v>100</v>
      </c>
      <c r="K253" s="29">
        <f>1685.5</f>
        <v>1685.5</v>
      </c>
      <c r="L253" s="31">
        <f>1783.5</f>
        <v>1783.5</v>
      </c>
      <c r="M253" s="26">
        <f>1802.5</f>
        <v>1802.5</v>
      </c>
      <c r="N253" s="26">
        <f t="shared" ref="N253:Q253" si="16">1802.5</f>
        <v>1802.5</v>
      </c>
      <c r="O253" s="26">
        <f t="shared" si="16"/>
        <v>1802.5</v>
      </c>
      <c r="P253" s="26">
        <f t="shared" si="16"/>
        <v>1802.5</v>
      </c>
      <c r="Q253" s="26">
        <f t="shared" si="16"/>
        <v>1802.5</v>
      </c>
      <c r="R253" s="26"/>
      <c r="S253" s="26"/>
      <c r="T253" s="26"/>
      <c r="U253" s="26"/>
      <c r="V253" s="26">
        <f>1802.5</f>
        <v>1802.5</v>
      </c>
      <c r="W253" s="26"/>
      <c r="X253" s="26"/>
      <c r="Y253" s="26"/>
      <c r="Z253" s="26"/>
      <c r="AA253" s="26">
        <f>1802.5</f>
        <v>1802.5</v>
      </c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53"/>
      <c r="AR253" s="53"/>
      <c r="AS253" s="53"/>
      <c r="AT253" s="53"/>
      <c r="AU253" s="53"/>
      <c r="AV253" s="53"/>
      <c r="AW253" s="53"/>
      <c r="AX253" s="53"/>
      <c r="AY253" s="53"/>
      <c r="AZ253" s="54"/>
    </row>
    <row r="254" spans="1:52" ht="13" customHeight="1">
      <c r="A254" s="24" t="s">
        <v>25</v>
      </c>
      <c r="B254" s="24" t="s">
        <v>165</v>
      </c>
      <c r="C254" s="26"/>
      <c r="D254" s="39" t="s">
        <v>166</v>
      </c>
      <c r="E254" s="25" t="s">
        <v>140</v>
      </c>
      <c r="F254" s="25"/>
      <c r="G254" s="25"/>
      <c r="H254" s="38"/>
      <c r="I254" s="198" t="s">
        <v>250</v>
      </c>
      <c r="J254" s="199" t="s">
        <v>100</v>
      </c>
      <c r="K254" s="29">
        <f>1339.6</f>
        <v>1339.6</v>
      </c>
      <c r="L254" s="31">
        <f>1229.9</f>
        <v>1229.9000000000001</v>
      </c>
      <c r="M254" s="26">
        <f>1363.1</f>
        <v>1363.1</v>
      </c>
      <c r="N254" s="34">
        <f>1429.8</f>
        <v>1429.8</v>
      </c>
      <c r="O254" s="34">
        <f>1476.7</f>
        <v>1476.7</v>
      </c>
      <c r="P254" s="34">
        <f>1512.7</f>
        <v>1512.7</v>
      </c>
      <c r="Q254" s="34">
        <f>1563.2</f>
        <v>1563.2</v>
      </c>
      <c r="R254" s="26"/>
      <c r="S254" s="26"/>
      <c r="T254" s="26"/>
      <c r="U254" s="26"/>
      <c r="V254" s="34">
        <f>1596.2</f>
        <v>1596.2</v>
      </c>
      <c r="W254" s="26"/>
      <c r="X254" s="26"/>
      <c r="Y254" s="26"/>
      <c r="Z254" s="26"/>
      <c r="AA254" s="34">
        <f>1596.2</f>
        <v>1596.2</v>
      </c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53"/>
      <c r="AR254" s="53"/>
      <c r="AS254" s="53"/>
      <c r="AT254" s="53"/>
      <c r="AU254" s="53"/>
      <c r="AV254" s="53"/>
      <c r="AW254" s="53"/>
      <c r="AX254" s="53"/>
      <c r="AY254" s="53"/>
      <c r="AZ254" s="54"/>
    </row>
    <row r="255" spans="1:52" ht="13" customHeight="1">
      <c r="A255" s="24" t="s">
        <v>25</v>
      </c>
      <c r="B255" s="24" t="s">
        <v>165</v>
      </c>
      <c r="C255" s="26"/>
      <c r="D255" s="39" t="s">
        <v>166</v>
      </c>
      <c r="E255" s="25" t="s">
        <v>140</v>
      </c>
      <c r="F255" s="25"/>
      <c r="G255" s="25"/>
      <c r="H255" s="38"/>
      <c r="I255" s="198" t="s">
        <v>251</v>
      </c>
      <c r="J255" s="199" t="s">
        <v>100</v>
      </c>
      <c r="K255" s="29">
        <f>442.9</f>
        <v>442.9</v>
      </c>
      <c r="L255" s="31">
        <f>418.1</f>
        <v>418.1</v>
      </c>
      <c r="M255" s="26">
        <f>429.5</f>
        <v>429.5</v>
      </c>
      <c r="N255" s="26">
        <f>443.4</f>
        <v>443.4</v>
      </c>
      <c r="O255" s="34">
        <f>459.5</f>
        <v>459.5</v>
      </c>
      <c r="P255" s="34">
        <f>476.9</f>
        <v>476.9</v>
      </c>
      <c r="Q255" s="26">
        <f>497.8</f>
        <v>497.8</v>
      </c>
      <c r="R255" s="26"/>
      <c r="S255" s="26"/>
      <c r="T255" s="26"/>
      <c r="U255" s="26"/>
      <c r="V255" s="26">
        <f>588.8</f>
        <v>588.79999999999995</v>
      </c>
      <c r="W255" s="26"/>
      <c r="X255" s="26"/>
      <c r="Y255" s="26"/>
      <c r="Z255" s="26"/>
      <c r="AA255" s="26">
        <f>696.3</f>
        <v>696.3</v>
      </c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53"/>
      <c r="AR255" s="53"/>
      <c r="AS255" s="53"/>
      <c r="AT255" s="53"/>
      <c r="AU255" s="53"/>
      <c r="AV255" s="53"/>
      <c r="AW255" s="53"/>
      <c r="AX255" s="53"/>
      <c r="AY255" s="53"/>
      <c r="AZ255" s="54"/>
    </row>
    <row r="256" spans="1:52" ht="13" customHeight="1">
      <c r="A256" s="24" t="s">
        <v>25</v>
      </c>
      <c r="B256" s="24" t="s">
        <v>165</v>
      </c>
      <c r="C256" s="26"/>
      <c r="D256" s="39" t="s">
        <v>166</v>
      </c>
      <c r="E256" s="25" t="s">
        <v>140</v>
      </c>
      <c r="F256" s="25"/>
      <c r="G256" s="25"/>
      <c r="H256" s="38"/>
      <c r="I256" s="198" t="s">
        <v>252</v>
      </c>
      <c r="J256" s="199" t="s">
        <v>100</v>
      </c>
      <c r="K256" s="29">
        <f>896.7</f>
        <v>896.7</v>
      </c>
      <c r="L256" s="55">
        <f>811.8</f>
        <v>811.8</v>
      </c>
      <c r="M256" s="26">
        <f>933.6</f>
        <v>933.6</v>
      </c>
      <c r="N256" s="26">
        <f>986.4</f>
        <v>986.4</v>
      </c>
      <c r="O256" s="34">
        <f>1017.2</f>
        <v>1017.2</v>
      </c>
      <c r="P256" s="34">
        <f>1035.8</f>
        <v>1035.8</v>
      </c>
      <c r="Q256" s="26">
        <f>1065.4</f>
        <v>1065.4000000000001</v>
      </c>
      <c r="R256" s="26"/>
      <c r="S256" s="26"/>
      <c r="T256" s="26"/>
      <c r="U256" s="26"/>
      <c r="V256" s="26">
        <f>1007.4</f>
        <v>1007.4</v>
      </c>
      <c r="W256" s="26"/>
      <c r="X256" s="26"/>
      <c r="Y256" s="26"/>
      <c r="Z256" s="26"/>
      <c r="AA256" s="26">
        <f>899.9</f>
        <v>899.9</v>
      </c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53"/>
      <c r="AR256" s="53"/>
      <c r="AS256" s="53"/>
      <c r="AT256" s="53"/>
      <c r="AU256" s="53"/>
      <c r="AV256" s="53"/>
      <c r="AW256" s="53"/>
      <c r="AX256" s="53"/>
      <c r="AY256" s="53"/>
      <c r="AZ256" s="54"/>
    </row>
    <row r="257" spans="1:52" ht="13" customHeight="1">
      <c r="A257" s="24" t="s">
        <v>25</v>
      </c>
      <c r="B257" s="24" t="s">
        <v>165</v>
      </c>
      <c r="C257" s="26"/>
      <c r="D257" s="39" t="s">
        <v>166</v>
      </c>
      <c r="E257" s="25" t="s">
        <v>142</v>
      </c>
      <c r="F257" s="25"/>
      <c r="G257" s="25"/>
      <c r="H257" s="38"/>
      <c r="I257" s="204" t="s">
        <v>249</v>
      </c>
      <c r="J257" s="199" t="s">
        <v>100</v>
      </c>
      <c r="K257" s="29">
        <f>1685.5</f>
        <v>1685.5</v>
      </c>
      <c r="L257" s="31">
        <f>1783.5</f>
        <v>1783.5</v>
      </c>
      <c r="M257" s="26">
        <f>1802.5</f>
        <v>1802.5</v>
      </c>
      <c r="N257" s="26">
        <f t="shared" ref="N257:Q257" si="17">1802.5</f>
        <v>1802.5</v>
      </c>
      <c r="O257" s="26">
        <f t="shared" si="17"/>
        <v>1802.5</v>
      </c>
      <c r="P257" s="26">
        <f t="shared" si="17"/>
        <v>1802.5</v>
      </c>
      <c r="Q257" s="26">
        <f t="shared" si="17"/>
        <v>1802.5</v>
      </c>
      <c r="R257" s="26"/>
      <c r="S257" s="26"/>
      <c r="T257" s="26"/>
      <c r="U257" s="26"/>
      <c r="V257" s="26">
        <f>1902.5</f>
        <v>1902.5</v>
      </c>
      <c r="W257" s="26"/>
      <c r="X257" s="26"/>
      <c r="Y257" s="26"/>
      <c r="Z257" s="26"/>
      <c r="AA257" s="26">
        <f>1902.5</f>
        <v>1902.5</v>
      </c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53"/>
      <c r="AR257" s="53"/>
      <c r="AS257" s="53"/>
      <c r="AT257" s="53"/>
      <c r="AU257" s="53"/>
      <c r="AV257" s="53"/>
      <c r="AW257" s="53"/>
      <c r="AX257" s="53"/>
      <c r="AY257" s="53"/>
      <c r="AZ257" s="54"/>
    </row>
    <row r="258" spans="1:52" ht="13" customHeight="1">
      <c r="A258" s="24" t="s">
        <v>25</v>
      </c>
      <c r="B258" s="24" t="s">
        <v>165</v>
      </c>
      <c r="C258" s="26"/>
      <c r="D258" s="39" t="s">
        <v>166</v>
      </c>
      <c r="E258" s="25" t="s">
        <v>142</v>
      </c>
      <c r="F258" s="25"/>
      <c r="G258" s="25"/>
      <c r="H258" s="38"/>
      <c r="I258" s="198" t="s">
        <v>250</v>
      </c>
      <c r="J258" s="199" t="s">
        <v>100</v>
      </c>
      <c r="K258" s="29">
        <f>1339.6</f>
        <v>1339.6</v>
      </c>
      <c r="L258" s="31">
        <f>1229.9</f>
        <v>1229.9000000000001</v>
      </c>
      <c r="M258" s="26">
        <f>1363.1</f>
        <v>1363.1</v>
      </c>
      <c r="N258" s="34">
        <f>1429.8</f>
        <v>1429.8</v>
      </c>
      <c r="O258" s="26">
        <f>1476.7</f>
        <v>1476.7</v>
      </c>
      <c r="P258" s="26">
        <f>1512.7</f>
        <v>1512.7</v>
      </c>
      <c r="Q258" s="26">
        <f>1563.2</f>
        <v>1563.2</v>
      </c>
      <c r="R258" s="26"/>
      <c r="S258" s="26"/>
      <c r="T258" s="26"/>
      <c r="U258" s="26"/>
      <c r="V258" s="26">
        <f>1646.2</f>
        <v>1646.2</v>
      </c>
      <c r="W258" s="26"/>
      <c r="X258" s="26"/>
      <c r="Y258" s="26"/>
      <c r="Z258" s="26"/>
      <c r="AA258" s="26">
        <f>1696.2</f>
        <v>1696.2</v>
      </c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53"/>
      <c r="AR258" s="53"/>
      <c r="AS258" s="53"/>
      <c r="AT258" s="53"/>
      <c r="AU258" s="53"/>
      <c r="AV258" s="53"/>
      <c r="AW258" s="53"/>
      <c r="AX258" s="53"/>
      <c r="AY258" s="53"/>
      <c r="AZ258" s="54"/>
    </row>
    <row r="259" spans="1:52" ht="13" customHeight="1">
      <c r="A259" s="24" t="s">
        <v>25</v>
      </c>
      <c r="B259" s="24" t="s">
        <v>165</v>
      </c>
      <c r="C259" s="26"/>
      <c r="D259" s="39" t="s">
        <v>166</v>
      </c>
      <c r="E259" s="25" t="s">
        <v>142</v>
      </c>
      <c r="F259" s="25"/>
      <c r="G259" s="25"/>
      <c r="H259" s="38"/>
      <c r="I259" s="198" t="s">
        <v>251</v>
      </c>
      <c r="J259" s="199" t="s">
        <v>100</v>
      </c>
      <c r="K259" s="29">
        <f>442.9</f>
        <v>442.9</v>
      </c>
      <c r="L259" s="31">
        <f>418.1</f>
        <v>418.1</v>
      </c>
      <c r="M259" s="26">
        <f>430.3</f>
        <v>430.3</v>
      </c>
      <c r="N259" s="26">
        <f>445.8</f>
        <v>445.8</v>
      </c>
      <c r="O259" s="26">
        <f>462.9</f>
        <v>462.9</v>
      </c>
      <c r="P259" s="26">
        <f>481.9</f>
        <v>481.9</v>
      </c>
      <c r="Q259" s="26">
        <f>504.6</f>
        <v>504.6</v>
      </c>
      <c r="R259" s="26"/>
      <c r="S259" s="26"/>
      <c r="T259" s="26"/>
      <c r="U259" s="26"/>
      <c r="V259" s="34">
        <f>606.4</f>
        <v>606.4</v>
      </c>
      <c r="W259" s="26"/>
      <c r="X259" s="26"/>
      <c r="Y259" s="26"/>
      <c r="Z259" s="26"/>
      <c r="AA259" s="26">
        <f>728.3</f>
        <v>728.3</v>
      </c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53"/>
      <c r="AR259" s="53"/>
      <c r="AS259" s="53"/>
      <c r="AT259" s="53"/>
      <c r="AU259" s="53"/>
      <c r="AV259" s="53"/>
      <c r="AW259" s="53"/>
      <c r="AX259" s="53"/>
      <c r="AY259" s="53"/>
      <c r="AZ259" s="54"/>
    </row>
    <row r="260" spans="1:52" ht="13" customHeight="1">
      <c r="A260" s="24" t="s">
        <v>25</v>
      </c>
      <c r="B260" s="24" t="s">
        <v>165</v>
      </c>
      <c r="C260" s="26"/>
      <c r="D260" s="39" t="s">
        <v>166</v>
      </c>
      <c r="E260" s="25" t="s">
        <v>142</v>
      </c>
      <c r="F260" s="25"/>
      <c r="G260" s="25"/>
      <c r="H260" s="38"/>
      <c r="I260" s="198" t="s">
        <v>252</v>
      </c>
      <c r="J260" s="199" t="s">
        <v>100</v>
      </c>
      <c r="K260" s="29">
        <f>896.7</f>
        <v>896.7</v>
      </c>
      <c r="L260" s="55">
        <f>811.8</f>
        <v>811.8</v>
      </c>
      <c r="M260" s="26">
        <v>932.8</v>
      </c>
      <c r="N260" s="34">
        <f>984</f>
        <v>984</v>
      </c>
      <c r="O260" s="26">
        <f>1030.8</f>
        <v>1030.8</v>
      </c>
      <c r="P260" s="26">
        <f>1030.8</f>
        <v>1030.8</v>
      </c>
      <c r="Q260" s="26">
        <f>1058.6</f>
        <v>1058.5999999999999</v>
      </c>
      <c r="R260" s="26"/>
      <c r="S260" s="26"/>
      <c r="T260" s="26"/>
      <c r="U260" s="26"/>
      <c r="V260" s="26">
        <f>1039.8</f>
        <v>1039.8</v>
      </c>
      <c r="W260" s="26"/>
      <c r="X260" s="26"/>
      <c r="Y260" s="26"/>
      <c r="Z260" s="26"/>
      <c r="AA260" s="26">
        <f>967.9</f>
        <v>967.9</v>
      </c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53"/>
      <c r="AR260" s="53"/>
      <c r="AS260" s="53"/>
      <c r="AT260" s="53"/>
      <c r="AU260" s="53"/>
      <c r="AV260" s="53"/>
      <c r="AW260" s="53"/>
      <c r="AX260" s="53"/>
      <c r="AY260" s="53"/>
      <c r="AZ260" s="54"/>
    </row>
    <row r="261" spans="1:52" ht="13" customHeight="1">
      <c r="A261" s="24" t="s">
        <v>253</v>
      </c>
      <c r="B261" s="24" t="s">
        <v>254</v>
      </c>
      <c r="C261" s="25" t="s">
        <v>255</v>
      </c>
      <c r="D261" s="25" t="s">
        <v>256</v>
      </c>
      <c r="E261" s="25" t="s">
        <v>257</v>
      </c>
      <c r="F261" s="25" t="s">
        <v>258</v>
      </c>
      <c r="G261" s="25" t="s">
        <v>259</v>
      </c>
      <c r="H261" s="38"/>
      <c r="I261" s="210" t="s">
        <v>260</v>
      </c>
      <c r="J261" s="202" t="s">
        <v>98</v>
      </c>
      <c r="K261" s="36"/>
      <c r="L261" s="57"/>
      <c r="M261" s="59"/>
      <c r="N261" s="59"/>
      <c r="O261" s="59"/>
      <c r="P261" s="59"/>
      <c r="Q261" s="59"/>
      <c r="R261" s="59"/>
      <c r="S261" s="59"/>
      <c r="T261" s="59"/>
      <c r="U261" s="59"/>
      <c r="V261" s="26"/>
      <c r="W261" s="58">
        <f>0.015</f>
        <v>1.4999999999999999E-2</v>
      </c>
      <c r="X261" s="58">
        <f t="shared" ref="X261:AO261" si="18">0.015</f>
        <v>1.4999999999999999E-2</v>
      </c>
      <c r="Y261" s="58">
        <f t="shared" si="18"/>
        <v>1.4999999999999999E-2</v>
      </c>
      <c r="Z261" s="58">
        <f t="shared" si="18"/>
        <v>1.4999999999999999E-2</v>
      </c>
      <c r="AA261" s="58">
        <f t="shared" si="18"/>
        <v>1.4999999999999999E-2</v>
      </c>
      <c r="AB261" s="58">
        <f t="shared" si="18"/>
        <v>1.4999999999999999E-2</v>
      </c>
      <c r="AC261" s="58">
        <f t="shared" si="18"/>
        <v>1.4999999999999999E-2</v>
      </c>
      <c r="AD261" s="58">
        <f t="shared" si="18"/>
        <v>1.4999999999999999E-2</v>
      </c>
      <c r="AE261" s="58">
        <f t="shared" si="18"/>
        <v>1.4999999999999999E-2</v>
      </c>
      <c r="AF261" s="58">
        <f t="shared" si="18"/>
        <v>1.4999999999999999E-2</v>
      </c>
      <c r="AG261" s="58">
        <f t="shared" si="18"/>
        <v>1.4999999999999999E-2</v>
      </c>
      <c r="AH261" s="58">
        <f t="shared" si="18"/>
        <v>1.4999999999999999E-2</v>
      </c>
      <c r="AI261" s="58">
        <f t="shared" si="18"/>
        <v>1.4999999999999999E-2</v>
      </c>
      <c r="AJ261" s="58">
        <f t="shared" si="18"/>
        <v>1.4999999999999999E-2</v>
      </c>
      <c r="AK261" s="58">
        <f t="shared" si="18"/>
        <v>1.4999999999999999E-2</v>
      </c>
      <c r="AL261" s="58">
        <f t="shared" si="18"/>
        <v>1.4999999999999999E-2</v>
      </c>
      <c r="AM261" s="58">
        <f t="shared" si="18"/>
        <v>1.4999999999999999E-2</v>
      </c>
      <c r="AN261" s="58">
        <f t="shared" si="18"/>
        <v>1.4999999999999999E-2</v>
      </c>
      <c r="AO261" s="58">
        <f t="shared" si="18"/>
        <v>1.4999999999999999E-2</v>
      </c>
      <c r="AP261" s="58">
        <f>0.01</f>
        <v>0.01</v>
      </c>
      <c r="AQ261" s="59"/>
      <c r="AR261" s="59"/>
      <c r="AS261" s="53"/>
      <c r="AT261" s="53"/>
      <c r="AU261" s="53"/>
      <c r="AV261" s="53"/>
      <c r="AW261" s="53"/>
      <c r="AX261" s="53"/>
      <c r="AY261" s="53"/>
      <c r="AZ261" s="54"/>
    </row>
    <row r="262" spans="1:52" ht="13" customHeight="1">
      <c r="A262" s="24" t="s">
        <v>261</v>
      </c>
      <c r="B262" s="24" t="s">
        <v>254</v>
      </c>
      <c r="C262" s="59"/>
      <c r="D262" s="39" t="s">
        <v>262</v>
      </c>
      <c r="E262" s="24" t="s">
        <v>263</v>
      </c>
      <c r="F262" s="24" t="s">
        <v>264</v>
      </c>
      <c r="G262" s="25" t="s">
        <v>265</v>
      </c>
      <c r="H262" s="38"/>
      <c r="I262" s="206" t="s">
        <v>266</v>
      </c>
      <c r="J262" s="202" t="s">
        <v>267</v>
      </c>
      <c r="K262" s="36">
        <f>358.4</f>
        <v>358.4</v>
      </c>
      <c r="L262" s="64">
        <f>354.5</f>
        <v>354.5</v>
      </c>
      <c r="M262" s="65">
        <f>358.8</f>
        <v>358.8</v>
      </c>
      <c r="N262" s="65">
        <f>364.9</f>
        <v>364.9</v>
      </c>
      <c r="O262" s="65">
        <f>365.3</f>
        <v>365.3</v>
      </c>
      <c r="P262" s="26">
        <f>371</f>
        <v>371</v>
      </c>
      <c r="Q262" s="59"/>
      <c r="R262" s="59"/>
      <c r="S262" s="59"/>
      <c r="T262" s="59"/>
      <c r="U262" s="59"/>
      <c r="V262" s="26">
        <f>384.4</f>
        <v>384.4</v>
      </c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3"/>
      <c r="AT262" s="53"/>
      <c r="AU262" s="53"/>
      <c r="AV262" s="53"/>
      <c r="AW262" s="53"/>
      <c r="AX262" s="53"/>
      <c r="AY262" s="53"/>
      <c r="AZ262" s="54"/>
    </row>
    <row r="263" spans="1:52" ht="13" customHeight="1">
      <c r="A263" s="24" t="s">
        <v>261</v>
      </c>
      <c r="B263" s="24" t="s">
        <v>254</v>
      </c>
      <c r="C263" s="59"/>
      <c r="D263" s="39" t="s">
        <v>262</v>
      </c>
      <c r="E263" s="24" t="s">
        <v>263</v>
      </c>
      <c r="F263" s="24" t="s">
        <v>264</v>
      </c>
      <c r="G263" s="25" t="s">
        <v>265</v>
      </c>
      <c r="H263" s="38"/>
      <c r="I263" s="198" t="s">
        <v>268</v>
      </c>
      <c r="J263" s="202" t="s">
        <v>269</v>
      </c>
      <c r="K263" s="36">
        <f>6.8</f>
        <v>6.8</v>
      </c>
      <c r="L263" s="31">
        <f>6.6</f>
        <v>6.6</v>
      </c>
      <c r="M263" s="26">
        <f>6.4</f>
        <v>6.4</v>
      </c>
      <c r="N263" s="26">
        <f>6.3</f>
        <v>6.3</v>
      </c>
      <c r="O263" s="26">
        <f>6.2</f>
        <v>6.2</v>
      </c>
      <c r="P263" s="26">
        <f>6.1</f>
        <v>6.1</v>
      </c>
      <c r="Q263" s="59"/>
      <c r="R263" s="59"/>
      <c r="S263" s="59"/>
      <c r="T263" s="59"/>
      <c r="U263" s="59"/>
      <c r="V263" s="26">
        <f>5.1</f>
        <v>5.0999999999999996</v>
      </c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3"/>
      <c r="AT263" s="53"/>
      <c r="AU263" s="53"/>
      <c r="AV263" s="53"/>
      <c r="AW263" s="53"/>
      <c r="AX263" s="53"/>
      <c r="AY263" s="53"/>
      <c r="AZ263" s="54"/>
    </row>
    <row r="264" spans="1:52" ht="13" customHeight="1">
      <c r="A264" s="24" t="s">
        <v>261</v>
      </c>
      <c r="B264" s="24" t="s">
        <v>254</v>
      </c>
      <c r="C264" s="59"/>
      <c r="D264" s="39" t="s">
        <v>262</v>
      </c>
      <c r="E264" s="24" t="s">
        <v>263</v>
      </c>
      <c r="F264" s="24" t="s">
        <v>264</v>
      </c>
      <c r="G264" s="25" t="s">
        <v>265</v>
      </c>
      <c r="H264" s="38"/>
      <c r="I264" s="198" t="s">
        <v>270</v>
      </c>
      <c r="J264" s="199" t="s">
        <v>98</v>
      </c>
      <c r="K264" s="203">
        <f>1</f>
        <v>1</v>
      </c>
      <c r="L264" s="62">
        <f>0.97</f>
        <v>0.97</v>
      </c>
      <c r="M264" s="63">
        <f>0.94</f>
        <v>0.94</v>
      </c>
      <c r="N264" s="63">
        <f>0.92</f>
        <v>0.92</v>
      </c>
      <c r="O264" s="63">
        <f>0.9</f>
        <v>0.9</v>
      </c>
      <c r="P264" s="63">
        <f>0.89</f>
        <v>0.89</v>
      </c>
      <c r="Q264" s="59"/>
      <c r="R264" s="59"/>
      <c r="S264" s="59"/>
      <c r="T264" s="59"/>
      <c r="U264" s="59"/>
      <c r="V264" s="63">
        <f>0.75</f>
        <v>0.75</v>
      </c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3"/>
      <c r="AT264" s="53"/>
      <c r="AU264" s="53"/>
      <c r="AV264" s="53"/>
      <c r="AW264" s="53"/>
      <c r="AX264" s="53"/>
      <c r="AY264" s="53"/>
      <c r="AZ264" s="54"/>
    </row>
    <row r="265" spans="1:52" ht="13" customHeight="1">
      <c r="A265" s="24" t="s">
        <v>261</v>
      </c>
      <c r="B265" s="24" t="s">
        <v>254</v>
      </c>
      <c r="C265" s="59"/>
      <c r="D265" s="39" t="s">
        <v>262</v>
      </c>
      <c r="E265" s="24" t="s">
        <v>271</v>
      </c>
      <c r="F265" s="24" t="s">
        <v>264</v>
      </c>
      <c r="G265" s="25" t="s">
        <v>265</v>
      </c>
      <c r="H265" s="38"/>
      <c r="I265" s="208" t="s">
        <v>272</v>
      </c>
      <c r="J265" s="202" t="s">
        <v>267</v>
      </c>
      <c r="K265" s="36">
        <f>147</f>
        <v>147</v>
      </c>
      <c r="L265" s="64">
        <f>147</f>
        <v>147</v>
      </c>
      <c r="M265" s="65">
        <f>148</f>
        <v>148</v>
      </c>
      <c r="N265" s="65">
        <f>149</f>
        <v>149</v>
      </c>
      <c r="O265" s="65">
        <f>149</f>
        <v>149</v>
      </c>
      <c r="P265" s="65">
        <f>150</f>
        <v>150</v>
      </c>
      <c r="Q265" s="66"/>
      <c r="R265" s="66"/>
      <c r="S265" s="66"/>
      <c r="T265" s="66"/>
      <c r="U265" s="66"/>
      <c r="V265" s="65">
        <f>151</f>
        <v>151</v>
      </c>
      <c r="W265" s="66"/>
      <c r="X265" s="66"/>
      <c r="Y265" s="66"/>
      <c r="Z265" s="66"/>
      <c r="AA265" s="66"/>
      <c r="AB265" s="66"/>
      <c r="AC265" s="66"/>
      <c r="AD265" s="66"/>
      <c r="AE265" s="66"/>
      <c r="AF265" s="66"/>
      <c r="AG265" s="66"/>
      <c r="AH265" s="66"/>
      <c r="AI265" s="66"/>
      <c r="AJ265" s="66"/>
      <c r="AK265" s="66"/>
      <c r="AL265" s="66"/>
      <c r="AM265" s="66"/>
      <c r="AN265" s="66"/>
      <c r="AO265" s="66"/>
      <c r="AP265" s="66"/>
      <c r="AQ265" s="59"/>
      <c r="AR265" s="59"/>
      <c r="AS265" s="53"/>
      <c r="AT265" s="53"/>
      <c r="AU265" s="53"/>
      <c r="AV265" s="53"/>
      <c r="AW265" s="53"/>
      <c r="AX265" s="53"/>
      <c r="AY265" s="53"/>
      <c r="AZ265" s="54"/>
    </row>
    <row r="266" spans="1:52" ht="13" customHeight="1">
      <c r="A266" s="24" t="s">
        <v>261</v>
      </c>
      <c r="B266" s="24" t="s">
        <v>254</v>
      </c>
      <c r="C266" s="59"/>
      <c r="D266" s="39" t="s">
        <v>262</v>
      </c>
      <c r="E266" s="24" t="s">
        <v>263</v>
      </c>
      <c r="F266" s="24" t="s">
        <v>264</v>
      </c>
      <c r="G266" s="25" t="s">
        <v>265</v>
      </c>
      <c r="H266" s="38"/>
      <c r="I266" s="211" t="s">
        <v>273</v>
      </c>
      <c r="J266" s="202" t="s">
        <v>269</v>
      </c>
      <c r="K266" s="36">
        <f>18.7</f>
        <v>18.7</v>
      </c>
      <c r="L266" s="64">
        <f>18.4</f>
        <v>18.399999999999999</v>
      </c>
      <c r="M266" s="65">
        <f>18.3</f>
        <v>18.3</v>
      </c>
      <c r="N266" s="65">
        <f>18.3</f>
        <v>18.3</v>
      </c>
      <c r="O266" s="65">
        <f>18.1</f>
        <v>18.100000000000001</v>
      </c>
      <c r="P266" s="78">
        <f>18</f>
        <v>18</v>
      </c>
      <c r="Q266" s="66"/>
      <c r="R266" s="66"/>
      <c r="S266" s="66"/>
      <c r="T266" s="66"/>
      <c r="U266" s="66"/>
      <c r="V266" s="65">
        <f>17.1</f>
        <v>17.100000000000001</v>
      </c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  <c r="AG266" s="66"/>
      <c r="AH266" s="66"/>
      <c r="AI266" s="66"/>
      <c r="AJ266" s="66"/>
      <c r="AK266" s="66"/>
      <c r="AL266" s="66"/>
      <c r="AM266" s="66"/>
      <c r="AN266" s="66"/>
      <c r="AO266" s="66"/>
      <c r="AP266" s="66"/>
      <c r="AQ266" s="59"/>
      <c r="AR266" s="59"/>
      <c r="AS266" s="53"/>
      <c r="AT266" s="53"/>
      <c r="AU266" s="53"/>
      <c r="AV266" s="53"/>
      <c r="AW266" s="53"/>
      <c r="AX266" s="53"/>
      <c r="AY266" s="53"/>
      <c r="AZ266" s="54"/>
    </row>
    <row r="267" spans="1:52" ht="13" customHeight="1">
      <c r="A267" s="24" t="s">
        <v>261</v>
      </c>
      <c r="B267" s="24" t="s">
        <v>254</v>
      </c>
      <c r="C267" s="59"/>
      <c r="D267" s="39" t="s">
        <v>262</v>
      </c>
      <c r="E267" s="24" t="s">
        <v>263</v>
      </c>
      <c r="F267" s="24" t="s">
        <v>264</v>
      </c>
      <c r="G267" s="25" t="s">
        <v>265</v>
      </c>
      <c r="H267" s="38"/>
      <c r="I267" s="208" t="s">
        <v>274</v>
      </c>
      <c r="J267" s="199" t="s">
        <v>98</v>
      </c>
      <c r="K267" s="203">
        <f>1</f>
        <v>1</v>
      </c>
      <c r="L267" s="62">
        <f>0.98</f>
        <v>0.98</v>
      </c>
      <c r="M267" s="63">
        <f>0.98</f>
        <v>0.98</v>
      </c>
      <c r="N267" s="63">
        <f>0.98</f>
        <v>0.98</v>
      </c>
      <c r="O267" s="63">
        <f>0.97</f>
        <v>0.97</v>
      </c>
      <c r="P267" s="63">
        <f>0.96</f>
        <v>0.96</v>
      </c>
      <c r="Q267" s="66"/>
      <c r="R267" s="66"/>
      <c r="S267" s="66"/>
      <c r="T267" s="66"/>
      <c r="U267" s="66"/>
      <c r="V267" s="63">
        <f>0.91</f>
        <v>0.91</v>
      </c>
      <c r="W267" s="66"/>
      <c r="X267" s="66"/>
      <c r="Y267" s="66"/>
      <c r="Z267" s="66"/>
      <c r="AA267" s="66"/>
      <c r="AB267" s="66"/>
      <c r="AC267" s="66"/>
      <c r="AD267" s="66"/>
      <c r="AE267" s="66"/>
      <c r="AF267" s="66"/>
      <c r="AG267" s="66"/>
      <c r="AH267" s="66"/>
      <c r="AI267" s="66"/>
      <c r="AJ267" s="66"/>
      <c r="AK267" s="66"/>
      <c r="AL267" s="66"/>
      <c r="AM267" s="66"/>
      <c r="AN267" s="66"/>
      <c r="AO267" s="66"/>
      <c r="AP267" s="66"/>
      <c r="AQ267" s="59"/>
      <c r="AR267" s="59"/>
      <c r="AS267" s="53"/>
      <c r="AT267" s="53"/>
      <c r="AU267" s="53"/>
      <c r="AV267" s="53"/>
      <c r="AW267" s="53"/>
      <c r="AX267" s="53"/>
      <c r="AY267" s="53"/>
      <c r="AZ267" s="54"/>
    </row>
    <row r="268" spans="1:52" ht="13" customHeight="1">
      <c r="A268" s="24" t="s">
        <v>261</v>
      </c>
      <c r="B268" s="24" t="s">
        <v>254</v>
      </c>
      <c r="C268" s="59"/>
      <c r="D268" s="39" t="s">
        <v>262</v>
      </c>
      <c r="E268" s="24" t="s">
        <v>263</v>
      </c>
      <c r="F268" s="24" t="s">
        <v>264</v>
      </c>
      <c r="G268" s="25" t="s">
        <v>265</v>
      </c>
      <c r="H268" s="38"/>
      <c r="I268" s="208" t="s">
        <v>273</v>
      </c>
      <c r="J268" s="202" t="s">
        <v>275</v>
      </c>
      <c r="K268" s="36">
        <f>1.94</f>
        <v>1.94</v>
      </c>
      <c r="L268" s="64">
        <f>1.92</f>
        <v>1.92</v>
      </c>
      <c r="M268" s="65">
        <f>1.91</f>
        <v>1.91</v>
      </c>
      <c r="N268" s="65">
        <f>1.9</f>
        <v>1.9</v>
      </c>
      <c r="O268" s="65">
        <f>1.88</f>
        <v>1.88</v>
      </c>
      <c r="P268" s="65">
        <f>1.87</f>
        <v>1.87</v>
      </c>
      <c r="Q268" s="65"/>
      <c r="R268" s="65"/>
      <c r="S268" s="65"/>
      <c r="T268" s="65"/>
      <c r="U268" s="65"/>
      <c r="V268" s="65">
        <f>1.77</f>
        <v>1.77</v>
      </c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59"/>
      <c r="AR268" s="59"/>
      <c r="AS268" s="53"/>
      <c r="AT268" s="53"/>
      <c r="AU268" s="53"/>
      <c r="AV268" s="53"/>
      <c r="AW268" s="53"/>
      <c r="AX268" s="53"/>
      <c r="AY268" s="53"/>
      <c r="AZ268" s="54"/>
    </row>
    <row r="269" spans="1:52" ht="13" customHeight="1">
      <c r="A269" s="24" t="s">
        <v>261</v>
      </c>
      <c r="B269" s="24" t="s">
        <v>254</v>
      </c>
      <c r="C269" s="59"/>
      <c r="D269" s="39" t="s">
        <v>262</v>
      </c>
      <c r="E269" s="24" t="s">
        <v>263</v>
      </c>
      <c r="F269" s="24" t="s">
        <v>264</v>
      </c>
      <c r="G269" s="25" t="s">
        <v>265</v>
      </c>
      <c r="H269" s="38"/>
      <c r="I269" s="211" t="s">
        <v>276</v>
      </c>
      <c r="J269" s="199" t="s">
        <v>98</v>
      </c>
      <c r="K269" s="203">
        <f>1</f>
        <v>1</v>
      </c>
      <c r="L269" s="62">
        <f>0.99</f>
        <v>0.99</v>
      </c>
      <c r="M269" s="63">
        <f>0.98</f>
        <v>0.98</v>
      </c>
      <c r="N269" s="63">
        <f>0.98</f>
        <v>0.98</v>
      </c>
      <c r="O269" s="63">
        <f>0.97</f>
        <v>0.97</v>
      </c>
      <c r="P269" s="63">
        <f>0.96</f>
        <v>0.96</v>
      </c>
      <c r="Q269" s="65"/>
      <c r="R269" s="65"/>
      <c r="S269" s="65"/>
      <c r="T269" s="65"/>
      <c r="U269" s="65"/>
      <c r="V269" s="63">
        <f>0.91</f>
        <v>0.91</v>
      </c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59"/>
      <c r="AR269" s="59"/>
      <c r="AS269" s="53"/>
      <c r="AT269" s="53"/>
      <c r="AU269" s="53"/>
      <c r="AV269" s="53"/>
      <c r="AW269" s="53"/>
      <c r="AX269" s="53"/>
      <c r="AY269" s="53"/>
      <c r="AZ269" s="54"/>
    </row>
    <row r="270" spans="1:52" ht="13" customHeight="1">
      <c r="A270" s="24" t="s">
        <v>261</v>
      </c>
      <c r="B270" s="24" t="s">
        <v>254</v>
      </c>
      <c r="C270" s="59"/>
      <c r="D270" s="39" t="s">
        <v>262</v>
      </c>
      <c r="E270" s="24" t="s">
        <v>263</v>
      </c>
      <c r="F270" s="24" t="s">
        <v>264</v>
      </c>
      <c r="G270" s="25" t="s">
        <v>265</v>
      </c>
      <c r="H270" s="38"/>
      <c r="I270" s="208" t="s">
        <v>277</v>
      </c>
      <c r="J270" s="202" t="s">
        <v>267</v>
      </c>
      <c r="K270" s="36">
        <f>71</f>
        <v>71</v>
      </c>
      <c r="L270" s="64">
        <f>70</f>
        <v>70</v>
      </c>
      <c r="M270" s="65">
        <f>71</f>
        <v>71</v>
      </c>
      <c r="N270" s="65">
        <f>73</f>
        <v>73</v>
      </c>
      <c r="O270" s="65">
        <f>74</f>
        <v>74</v>
      </c>
      <c r="P270" s="65">
        <f>78</f>
        <v>78</v>
      </c>
      <c r="Q270" s="66"/>
      <c r="R270" s="66"/>
      <c r="S270" s="66"/>
      <c r="T270" s="66"/>
      <c r="U270" s="66"/>
      <c r="V270" s="65">
        <f>91</f>
        <v>91</v>
      </c>
      <c r="W270" s="66"/>
      <c r="X270" s="66"/>
      <c r="Y270" s="66"/>
      <c r="Z270" s="66"/>
      <c r="AA270" s="65"/>
      <c r="AB270" s="65"/>
      <c r="AC270" s="65"/>
      <c r="AD270" s="65"/>
      <c r="AE270" s="65"/>
      <c r="AF270" s="65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59"/>
      <c r="AR270" s="59"/>
      <c r="AS270" s="53"/>
      <c r="AT270" s="53"/>
      <c r="AU270" s="53"/>
      <c r="AV270" s="53"/>
      <c r="AW270" s="53"/>
      <c r="AX270" s="53"/>
      <c r="AY270" s="53"/>
      <c r="AZ270" s="54"/>
    </row>
    <row r="271" spans="1:52" ht="13" customHeight="1">
      <c r="A271" s="24" t="s">
        <v>261</v>
      </c>
      <c r="B271" s="24" t="s">
        <v>254</v>
      </c>
      <c r="C271" s="59"/>
      <c r="D271" s="39" t="s">
        <v>262</v>
      </c>
      <c r="E271" s="24" t="s">
        <v>263</v>
      </c>
      <c r="F271" s="24" t="s">
        <v>264</v>
      </c>
      <c r="G271" s="25" t="s">
        <v>265</v>
      </c>
      <c r="H271" s="38"/>
      <c r="I271" s="208" t="s">
        <v>278</v>
      </c>
      <c r="J271" s="202" t="s">
        <v>269</v>
      </c>
      <c r="K271" s="36">
        <f>13.8</f>
        <v>13.8</v>
      </c>
      <c r="L271" s="64">
        <f>12.5</f>
        <v>12.5</v>
      </c>
      <c r="M271" s="65">
        <f>11.9</f>
        <v>11.9</v>
      </c>
      <c r="N271" s="65">
        <f>11.4</f>
        <v>11.4</v>
      </c>
      <c r="O271" s="78">
        <f>11</f>
        <v>11</v>
      </c>
      <c r="P271" s="78">
        <f>10.9</f>
        <v>10.9</v>
      </c>
      <c r="Q271" s="66"/>
      <c r="R271" s="66"/>
      <c r="S271" s="66"/>
      <c r="T271" s="66"/>
      <c r="U271" s="66"/>
      <c r="V271" s="65">
        <f>10.8</f>
        <v>10.8</v>
      </c>
      <c r="W271" s="66"/>
      <c r="X271" s="66"/>
      <c r="Y271" s="66"/>
      <c r="Z271" s="66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59"/>
      <c r="AR271" s="59"/>
      <c r="AS271" s="53"/>
      <c r="AT271" s="53"/>
      <c r="AU271" s="53"/>
      <c r="AV271" s="53"/>
      <c r="AW271" s="53"/>
      <c r="AX271" s="53"/>
      <c r="AY271" s="53"/>
      <c r="AZ271" s="54"/>
    </row>
    <row r="272" spans="1:52" ht="13" customHeight="1">
      <c r="A272" s="24" t="s">
        <v>261</v>
      </c>
      <c r="B272" s="24" t="s">
        <v>254</v>
      </c>
      <c r="C272" s="59"/>
      <c r="D272" s="39" t="s">
        <v>262</v>
      </c>
      <c r="E272" s="24" t="s">
        <v>263</v>
      </c>
      <c r="F272" s="24" t="s">
        <v>264</v>
      </c>
      <c r="G272" s="25" t="s">
        <v>265</v>
      </c>
      <c r="H272" s="38"/>
      <c r="I272" s="208" t="s">
        <v>279</v>
      </c>
      <c r="J272" s="199" t="s">
        <v>98</v>
      </c>
      <c r="K272" s="203">
        <f>1</f>
        <v>1</v>
      </c>
      <c r="L272" s="62">
        <f>0.9</f>
        <v>0.9</v>
      </c>
      <c r="M272" s="63">
        <f>0.86</f>
        <v>0.86</v>
      </c>
      <c r="N272" s="63">
        <f>0.83</f>
        <v>0.83</v>
      </c>
      <c r="O272" s="63">
        <f>0.8</f>
        <v>0.8</v>
      </c>
      <c r="P272" s="63">
        <f>0.79</f>
        <v>0.79</v>
      </c>
      <c r="Q272" s="66"/>
      <c r="R272" s="66"/>
      <c r="S272" s="66"/>
      <c r="T272" s="66"/>
      <c r="U272" s="66"/>
      <c r="V272" s="63">
        <f>0.79</f>
        <v>0.79</v>
      </c>
      <c r="W272" s="66"/>
      <c r="X272" s="66"/>
      <c r="Y272" s="66"/>
      <c r="Z272" s="66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59"/>
      <c r="AR272" s="59"/>
      <c r="AS272" s="53"/>
      <c r="AT272" s="53"/>
      <c r="AU272" s="53"/>
      <c r="AV272" s="53"/>
      <c r="AW272" s="53"/>
      <c r="AX272" s="53"/>
      <c r="AY272" s="53"/>
      <c r="AZ272" s="54"/>
    </row>
    <row r="273" spans="1:52" ht="13" customHeight="1">
      <c r="A273" s="24" t="s">
        <v>261</v>
      </c>
      <c r="B273" s="24" t="s">
        <v>254</v>
      </c>
      <c r="C273" s="59"/>
      <c r="D273" s="39" t="s">
        <v>262</v>
      </c>
      <c r="E273" s="24" t="s">
        <v>263</v>
      </c>
      <c r="F273" s="24" t="s">
        <v>264</v>
      </c>
      <c r="G273" s="25" t="s">
        <v>265</v>
      </c>
      <c r="H273" s="38"/>
      <c r="I273" s="211" t="s">
        <v>278</v>
      </c>
      <c r="J273" s="202" t="s">
        <v>275</v>
      </c>
      <c r="K273" s="36">
        <f>1.46</f>
        <v>1.46</v>
      </c>
      <c r="L273" s="64">
        <f>1.54</f>
        <v>1.54</v>
      </c>
      <c r="M273" s="65">
        <f>1.46</f>
        <v>1.46</v>
      </c>
      <c r="N273" s="65">
        <f>1.44</f>
        <v>1.44</v>
      </c>
      <c r="O273" s="65">
        <f>1.43</f>
        <v>1.43</v>
      </c>
      <c r="P273" s="65">
        <f>1.39</f>
        <v>1.39</v>
      </c>
      <c r="Q273" s="65"/>
      <c r="R273" s="65"/>
      <c r="S273" s="65"/>
      <c r="T273" s="65"/>
      <c r="U273" s="65"/>
      <c r="V273" s="65">
        <f>1.11</f>
        <v>1.1100000000000001</v>
      </c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59"/>
      <c r="AR273" s="59"/>
      <c r="AS273" s="53"/>
      <c r="AT273" s="53"/>
      <c r="AU273" s="53"/>
      <c r="AV273" s="53"/>
      <c r="AW273" s="53"/>
      <c r="AX273" s="53"/>
      <c r="AY273" s="53"/>
      <c r="AZ273" s="54"/>
    </row>
    <row r="274" spans="1:52" ht="13" customHeight="1">
      <c r="A274" s="24" t="s">
        <v>261</v>
      </c>
      <c r="B274" s="24" t="s">
        <v>254</v>
      </c>
      <c r="C274" s="59"/>
      <c r="D274" s="39" t="s">
        <v>262</v>
      </c>
      <c r="E274" s="24" t="s">
        <v>263</v>
      </c>
      <c r="F274" s="24" t="s">
        <v>264</v>
      </c>
      <c r="G274" s="25" t="s">
        <v>265</v>
      </c>
      <c r="H274" s="38"/>
      <c r="I274" s="208" t="s">
        <v>280</v>
      </c>
      <c r="J274" s="199" t="s">
        <v>98</v>
      </c>
      <c r="K274" s="203">
        <f>1</f>
        <v>1</v>
      </c>
      <c r="L274" s="62">
        <f>1.05</f>
        <v>1.05</v>
      </c>
      <c r="M274" s="63">
        <f>1</f>
        <v>1</v>
      </c>
      <c r="N274" s="63">
        <f>0.99</f>
        <v>0.99</v>
      </c>
      <c r="O274" s="63">
        <f>0.98</f>
        <v>0.98</v>
      </c>
      <c r="P274" s="63">
        <f>0.95</f>
        <v>0.95</v>
      </c>
      <c r="Q274" s="65"/>
      <c r="R274" s="65"/>
      <c r="S274" s="65"/>
      <c r="T274" s="65"/>
      <c r="U274" s="65"/>
      <c r="V274" s="63">
        <f>0.76</f>
        <v>0.76</v>
      </c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59"/>
      <c r="AR274" s="59"/>
      <c r="AS274" s="53"/>
      <c r="AT274" s="53"/>
      <c r="AU274" s="53"/>
      <c r="AV274" s="53"/>
      <c r="AW274" s="53"/>
      <c r="AX274" s="53"/>
      <c r="AY274" s="53"/>
      <c r="AZ274" s="54"/>
    </row>
    <row r="275" spans="1:52" ht="13" customHeight="1">
      <c r="A275" s="24" t="s">
        <v>261</v>
      </c>
      <c r="B275" s="24" t="s">
        <v>254</v>
      </c>
      <c r="C275" s="59"/>
      <c r="D275" s="39" t="s">
        <v>262</v>
      </c>
      <c r="E275" s="24" t="s">
        <v>263</v>
      </c>
      <c r="F275" s="24" t="s">
        <v>264</v>
      </c>
      <c r="G275" s="25" t="s">
        <v>265</v>
      </c>
      <c r="H275" s="38"/>
      <c r="I275" s="208" t="s">
        <v>281</v>
      </c>
      <c r="J275" s="202" t="s">
        <v>267</v>
      </c>
      <c r="K275" s="36">
        <f>59</f>
        <v>59</v>
      </c>
      <c r="L275" s="64">
        <f>60</f>
        <v>60</v>
      </c>
      <c r="M275" s="65">
        <f>61</f>
        <v>61</v>
      </c>
      <c r="N275" s="65">
        <f>63</f>
        <v>63</v>
      </c>
      <c r="O275" s="65">
        <f>63</f>
        <v>63</v>
      </c>
      <c r="P275" s="65">
        <f>64</f>
        <v>64</v>
      </c>
      <c r="Q275" s="66"/>
      <c r="R275" s="66"/>
      <c r="S275" s="66"/>
      <c r="T275" s="66"/>
      <c r="U275" s="66"/>
      <c r="V275" s="65">
        <f>62</f>
        <v>62</v>
      </c>
      <c r="W275" s="66"/>
      <c r="X275" s="66"/>
      <c r="Y275" s="66"/>
      <c r="Z275" s="66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59"/>
      <c r="AR275" s="59"/>
      <c r="AS275" s="53"/>
      <c r="AT275" s="53"/>
      <c r="AU275" s="53"/>
      <c r="AV275" s="53"/>
      <c r="AW275" s="53"/>
      <c r="AX275" s="53"/>
      <c r="AY275" s="53"/>
      <c r="AZ275" s="54"/>
    </row>
    <row r="276" spans="1:52" ht="13" customHeight="1">
      <c r="A276" s="24" t="s">
        <v>261</v>
      </c>
      <c r="B276" s="24" t="s">
        <v>254</v>
      </c>
      <c r="C276" s="59"/>
      <c r="D276" s="39" t="s">
        <v>262</v>
      </c>
      <c r="E276" s="24" t="s">
        <v>263</v>
      </c>
      <c r="F276" s="24" t="s">
        <v>264</v>
      </c>
      <c r="G276" s="25" t="s">
        <v>265</v>
      </c>
      <c r="H276" s="38"/>
      <c r="I276" s="211" t="s">
        <v>282</v>
      </c>
      <c r="J276" s="202" t="s">
        <v>269</v>
      </c>
      <c r="K276" s="36">
        <f>32.3</f>
        <v>32.299999999999997</v>
      </c>
      <c r="L276" s="64">
        <f>30.6</f>
        <v>30.6</v>
      </c>
      <c r="M276" s="65">
        <f>30</f>
        <v>30</v>
      </c>
      <c r="N276" s="65">
        <f>29.7</f>
        <v>29.7</v>
      </c>
      <c r="O276" s="65">
        <f>29.6</f>
        <v>29.6</v>
      </c>
      <c r="P276" s="78">
        <f>29.6</f>
        <v>29.6</v>
      </c>
      <c r="Q276" s="66"/>
      <c r="R276" s="66"/>
      <c r="S276" s="66"/>
      <c r="T276" s="66"/>
      <c r="U276" s="66"/>
      <c r="V276" s="65">
        <f>27.3</f>
        <v>27.3</v>
      </c>
      <c r="W276" s="66"/>
      <c r="X276" s="66"/>
      <c r="Y276" s="66"/>
      <c r="Z276" s="66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59"/>
      <c r="AR276" s="59"/>
      <c r="AS276" s="53"/>
      <c r="AT276" s="53"/>
      <c r="AU276" s="53"/>
      <c r="AV276" s="53"/>
      <c r="AW276" s="53"/>
      <c r="AX276" s="53"/>
      <c r="AY276" s="53"/>
      <c r="AZ276" s="54"/>
    </row>
    <row r="277" spans="1:52" ht="13" customHeight="1">
      <c r="A277" s="24" t="s">
        <v>261</v>
      </c>
      <c r="B277" s="24" t="s">
        <v>254</v>
      </c>
      <c r="C277" s="59"/>
      <c r="D277" s="39" t="s">
        <v>262</v>
      </c>
      <c r="E277" s="24" t="s">
        <v>263</v>
      </c>
      <c r="F277" s="24" t="s">
        <v>264</v>
      </c>
      <c r="G277" s="25" t="s">
        <v>265</v>
      </c>
      <c r="H277" s="38"/>
      <c r="I277" s="208" t="s">
        <v>283</v>
      </c>
      <c r="J277" s="199" t="s">
        <v>98</v>
      </c>
      <c r="K277" s="203">
        <f>1</f>
        <v>1</v>
      </c>
      <c r="L277" s="62">
        <f>0.95</f>
        <v>0.95</v>
      </c>
      <c r="M277" s="63">
        <f>0.93</f>
        <v>0.93</v>
      </c>
      <c r="N277" s="63">
        <f>0.92</f>
        <v>0.92</v>
      </c>
      <c r="O277" s="63">
        <f>0.92</f>
        <v>0.92</v>
      </c>
      <c r="P277" s="63">
        <f>0.92</f>
        <v>0.92</v>
      </c>
      <c r="Q277" s="66"/>
      <c r="R277" s="66"/>
      <c r="S277" s="66"/>
      <c r="T277" s="66"/>
      <c r="U277" s="66"/>
      <c r="V277" s="63">
        <f>0.84</f>
        <v>0.84</v>
      </c>
      <c r="W277" s="66"/>
      <c r="X277" s="66"/>
      <c r="Y277" s="66"/>
      <c r="Z277" s="66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59"/>
      <c r="AR277" s="59"/>
      <c r="AS277" s="53"/>
      <c r="AT277" s="53"/>
      <c r="AU277" s="53"/>
      <c r="AV277" s="53"/>
      <c r="AW277" s="53"/>
      <c r="AX277" s="53"/>
      <c r="AY277" s="53"/>
      <c r="AZ277" s="54"/>
    </row>
    <row r="278" spans="1:52" ht="13" customHeight="1">
      <c r="A278" s="24" t="s">
        <v>261</v>
      </c>
      <c r="B278" s="24" t="s">
        <v>254</v>
      </c>
      <c r="C278" s="59"/>
      <c r="D278" s="39" t="s">
        <v>262</v>
      </c>
      <c r="E278" s="24" t="s">
        <v>263</v>
      </c>
      <c r="F278" s="24" t="s">
        <v>264</v>
      </c>
      <c r="G278" s="25" t="s">
        <v>265</v>
      </c>
      <c r="H278" s="38"/>
      <c r="I278" s="211" t="s">
        <v>282</v>
      </c>
      <c r="J278" s="202" t="s">
        <v>275</v>
      </c>
      <c r="K278" s="36">
        <f>0.59</f>
        <v>0.59</v>
      </c>
      <c r="L278" s="64">
        <f>0.59</f>
        <v>0.59</v>
      </c>
      <c r="M278" s="65">
        <f>0.59</f>
        <v>0.59</v>
      </c>
      <c r="N278" s="65">
        <f>0.59</f>
        <v>0.59</v>
      </c>
      <c r="O278" s="65">
        <f>0.58</f>
        <v>0.57999999999999996</v>
      </c>
      <c r="P278" s="65">
        <f>0.58</f>
        <v>0.57999999999999996</v>
      </c>
      <c r="Q278" s="65"/>
      <c r="R278" s="65"/>
      <c r="S278" s="65"/>
      <c r="T278" s="65"/>
      <c r="U278" s="65"/>
      <c r="V278" s="65">
        <f>0.49</f>
        <v>0.49</v>
      </c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59"/>
      <c r="AR278" s="59"/>
      <c r="AS278" s="53"/>
      <c r="AT278" s="53"/>
      <c r="AU278" s="53"/>
      <c r="AV278" s="53"/>
      <c r="AW278" s="53"/>
      <c r="AX278" s="53"/>
      <c r="AY278" s="53"/>
      <c r="AZ278" s="54"/>
    </row>
    <row r="279" spans="1:52" ht="13" customHeight="1">
      <c r="A279" s="24" t="s">
        <v>261</v>
      </c>
      <c r="B279" s="24" t="s">
        <v>254</v>
      </c>
      <c r="C279" s="59"/>
      <c r="D279" s="39" t="s">
        <v>262</v>
      </c>
      <c r="E279" s="24" t="s">
        <v>263</v>
      </c>
      <c r="F279" s="24" t="s">
        <v>264</v>
      </c>
      <c r="G279" s="25" t="s">
        <v>265</v>
      </c>
      <c r="H279" s="38"/>
      <c r="I279" s="211" t="s">
        <v>284</v>
      </c>
      <c r="J279" s="199" t="s">
        <v>98</v>
      </c>
      <c r="K279" s="203">
        <f>1</f>
        <v>1</v>
      </c>
      <c r="L279" s="62">
        <f>100%</f>
        <v>1</v>
      </c>
      <c r="M279" s="63">
        <f>1</f>
        <v>1</v>
      </c>
      <c r="N279" s="63">
        <f>0.99</f>
        <v>0.99</v>
      </c>
      <c r="O279" s="63">
        <f>99%</f>
        <v>0.99</v>
      </c>
      <c r="P279" s="63">
        <f>0.98</f>
        <v>0.98</v>
      </c>
      <c r="Q279" s="65"/>
      <c r="R279" s="65"/>
      <c r="S279" s="65"/>
      <c r="T279" s="65"/>
      <c r="U279" s="65"/>
      <c r="V279" s="63">
        <f>0.84</f>
        <v>0.84</v>
      </c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59"/>
      <c r="AR279" s="59"/>
      <c r="AS279" s="53"/>
      <c r="AT279" s="53"/>
      <c r="AU279" s="53"/>
      <c r="AV279" s="53"/>
      <c r="AW279" s="53"/>
      <c r="AX279" s="53"/>
      <c r="AY279" s="53"/>
      <c r="AZ279" s="54"/>
    </row>
    <row r="280" spans="1:52" ht="13" customHeight="1">
      <c r="A280" s="24" t="s">
        <v>261</v>
      </c>
      <c r="B280" s="24" t="s">
        <v>254</v>
      </c>
      <c r="C280" s="59"/>
      <c r="D280" s="39" t="s">
        <v>262</v>
      </c>
      <c r="E280" s="24" t="s">
        <v>263</v>
      </c>
      <c r="F280" s="24" t="s">
        <v>264</v>
      </c>
      <c r="G280" s="25" t="s">
        <v>265</v>
      </c>
      <c r="H280" s="38"/>
      <c r="I280" s="208" t="s">
        <v>285</v>
      </c>
      <c r="J280" s="202" t="s">
        <v>267</v>
      </c>
      <c r="K280" s="36">
        <f>12</f>
        <v>12</v>
      </c>
      <c r="L280" s="64">
        <f>12</f>
        <v>12</v>
      </c>
      <c r="M280" s="65">
        <f>13</f>
        <v>13</v>
      </c>
      <c r="N280" s="65">
        <f>14</f>
        <v>14</v>
      </c>
      <c r="O280" s="65">
        <f>14</f>
        <v>14</v>
      </c>
      <c r="P280" s="65">
        <f>15</f>
        <v>15</v>
      </c>
      <c r="Q280" s="66"/>
      <c r="R280" s="66"/>
      <c r="S280" s="66"/>
      <c r="T280" s="66"/>
      <c r="U280" s="66"/>
      <c r="V280" s="65">
        <f>20</f>
        <v>20</v>
      </c>
      <c r="W280" s="66"/>
      <c r="X280" s="66"/>
      <c r="Y280" s="66"/>
      <c r="Z280" s="66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59"/>
      <c r="AR280" s="59"/>
      <c r="AS280" s="53"/>
      <c r="AT280" s="53"/>
      <c r="AU280" s="53"/>
      <c r="AV280" s="53"/>
      <c r="AW280" s="53"/>
      <c r="AX280" s="53"/>
      <c r="AY280" s="53"/>
      <c r="AZ280" s="54"/>
    </row>
    <row r="281" spans="1:52" ht="13" customHeight="1">
      <c r="A281" s="24" t="s">
        <v>261</v>
      </c>
      <c r="B281" s="24" t="s">
        <v>254</v>
      </c>
      <c r="C281" s="59"/>
      <c r="D281" s="39" t="s">
        <v>262</v>
      </c>
      <c r="E281" s="24" t="s">
        <v>263</v>
      </c>
      <c r="F281" s="24" t="s">
        <v>264</v>
      </c>
      <c r="G281" s="25" t="s">
        <v>265</v>
      </c>
      <c r="H281" s="38"/>
      <c r="I281" s="208" t="s">
        <v>286</v>
      </c>
      <c r="J281" s="202" t="s">
        <v>269</v>
      </c>
      <c r="K281" s="36">
        <f>11.8</f>
        <v>11.8</v>
      </c>
      <c r="L281" s="64">
        <f>11.8</f>
        <v>11.8</v>
      </c>
      <c r="M281" s="65">
        <f>11.8</f>
        <v>11.8</v>
      </c>
      <c r="N281" s="65">
        <f>11.7</f>
        <v>11.7</v>
      </c>
      <c r="O281" s="78">
        <f>11.7</f>
        <v>11.7</v>
      </c>
      <c r="P281" s="78">
        <f>11.5</f>
        <v>11.5</v>
      </c>
      <c r="Q281" s="66"/>
      <c r="R281" s="66"/>
      <c r="S281" s="66"/>
      <c r="T281" s="66"/>
      <c r="U281" s="66"/>
      <c r="V281" s="65">
        <f>9.8</f>
        <v>9.8000000000000007</v>
      </c>
      <c r="W281" s="66"/>
      <c r="X281" s="66"/>
      <c r="Y281" s="66"/>
      <c r="Z281" s="66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59"/>
      <c r="AR281" s="59"/>
      <c r="AS281" s="53"/>
      <c r="AT281" s="53"/>
      <c r="AU281" s="53"/>
      <c r="AV281" s="53"/>
      <c r="AW281" s="53"/>
      <c r="AX281" s="53"/>
      <c r="AY281" s="53"/>
      <c r="AZ281" s="54"/>
    </row>
    <row r="282" spans="1:52" ht="13" customHeight="1">
      <c r="A282" s="24" t="s">
        <v>261</v>
      </c>
      <c r="B282" s="24" t="s">
        <v>254</v>
      </c>
      <c r="C282" s="59"/>
      <c r="D282" s="39" t="s">
        <v>262</v>
      </c>
      <c r="E282" s="24" t="s">
        <v>263</v>
      </c>
      <c r="F282" s="24" t="s">
        <v>264</v>
      </c>
      <c r="G282" s="25" t="s">
        <v>265</v>
      </c>
      <c r="H282" s="38"/>
      <c r="I282" s="211" t="s">
        <v>287</v>
      </c>
      <c r="J282" s="199" t="s">
        <v>98</v>
      </c>
      <c r="K282" s="203">
        <f>1</f>
        <v>1</v>
      </c>
      <c r="L282" s="62">
        <f>0.99</f>
        <v>0.99</v>
      </c>
      <c r="M282" s="63">
        <f>0.99</f>
        <v>0.99</v>
      </c>
      <c r="N282" s="63">
        <f>0.99</f>
        <v>0.99</v>
      </c>
      <c r="O282" s="63">
        <f>0.99</f>
        <v>0.99</v>
      </c>
      <c r="P282" s="63">
        <f>0.97</f>
        <v>0.97</v>
      </c>
      <c r="Q282" s="66"/>
      <c r="R282" s="66"/>
      <c r="S282" s="66"/>
      <c r="T282" s="66"/>
      <c r="U282" s="66"/>
      <c r="V282" s="63">
        <f>0.83</f>
        <v>0.83</v>
      </c>
      <c r="W282" s="66"/>
      <c r="X282" s="66"/>
      <c r="Y282" s="66"/>
      <c r="Z282" s="66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59"/>
      <c r="AR282" s="59"/>
      <c r="AS282" s="53"/>
      <c r="AT282" s="53"/>
      <c r="AU282" s="53"/>
      <c r="AV282" s="53"/>
      <c r="AW282" s="53"/>
      <c r="AX282" s="53"/>
      <c r="AY282" s="53"/>
      <c r="AZ282" s="54"/>
    </row>
    <row r="283" spans="1:52" ht="13" customHeight="1">
      <c r="A283" s="24" t="s">
        <v>261</v>
      </c>
      <c r="B283" s="24" t="s">
        <v>254</v>
      </c>
      <c r="C283" s="59"/>
      <c r="D283" s="39" t="s">
        <v>262</v>
      </c>
      <c r="E283" s="24" t="s">
        <v>263</v>
      </c>
      <c r="F283" s="24" t="s">
        <v>264</v>
      </c>
      <c r="G283" s="25" t="s">
        <v>265</v>
      </c>
      <c r="H283" s="38"/>
      <c r="I283" s="208" t="s">
        <v>286</v>
      </c>
      <c r="J283" s="202" t="s">
        <v>275</v>
      </c>
      <c r="K283" s="36">
        <f>1.02</f>
        <v>1.02</v>
      </c>
      <c r="L283" s="64">
        <f>1.02</f>
        <v>1.02</v>
      </c>
      <c r="M283" s="65">
        <f>1.02</f>
        <v>1.02</v>
      </c>
      <c r="N283" s="65">
        <f>1.01</f>
        <v>1.01</v>
      </c>
      <c r="O283" s="65">
        <f>1.01</f>
        <v>1.01</v>
      </c>
      <c r="P283" s="78">
        <f>1</f>
        <v>1</v>
      </c>
      <c r="Q283" s="65"/>
      <c r="R283" s="65"/>
      <c r="S283" s="65"/>
      <c r="T283" s="65"/>
      <c r="U283" s="65"/>
      <c r="V283" s="65">
        <f>0.81</f>
        <v>0.81</v>
      </c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59"/>
      <c r="AR283" s="59"/>
      <c r="AS283" s="53"/>
      <c r="AT283" s="53"/>
      <c r="AU283" s="53"/>
      <c r="AV283" s="53"/>
      <c r="AW283" s="53"/>
      <c r="AX283" s="53"/>
      <c r="AY283" s="53"/>
      <c r="AZ283" s="54"/>
    </row>
    <row r="284" spans="1:52" ht="13" customHeight="1">
      <c r="A284" s="24" t="s">
        <v>261</v>
      </c>
      <c r="B284" s="24" t="s">
        <v>254</v>
      </c>
      <c r="C284" s="59"/>
      <c r="D284" s="39" t="s">
        <v>262</v>
      </c>
      <c r="E284" s="24" t="s">
        <v>263</v>
      </c>
      <c r="F284" s="24" t="s">
        <v>264</v>
      </c>
      <c r="G284" s="25" t="s">
        <v>265</v>
      </c>
      <c r="H284" s="38"/>
      <c r="I284" s="211" t="s">
        <v>288</v>
      </c>
      <c r="J284" s="199" t="s">
        <v>98</v>
      </c>
      <c r="K284" s="203">
        <f>1</f>
        <v>1</v>
      </c>
      <c r="L284" s="62">
        <v>1</v>
      </c>
      <c r="M284" s="63">
        <f>1</f>
        <v>1</v>
      </c>
      <c r="N284" s="63">
        <f>0.99</f>
        <v>0.99</v>
      </c>
      <c r="O284" s="63">
        <f>0.99</f>
        <v>0.99</v>
      </c>
      <c r="P284" s="63">
        <f>0.98</f>
        <v>0.98</v>
      </c>
      <c r="Q284" s="65"/>
      <c r="R284" s="65"/>
      <c r="S284" s="65"/>
      <c r="T284" s="65"/>
      <c r="U284" s="65"/>
      <c r="V284" s="63">
        <f>0.79</f>
        <v>0.79</v>
      </c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59"/>
      <c r="AR284" s="59"/>
      <c r="AS284" s="53"/>
      <c r="AT284" s="53"/>
      <c r="AU284" s="53"/>
      <c r="AV284" s="53"/>
      <c r="AW284" s="53"/>
      <c r="AX284" s="53"/>
      <c r="AY284" s="53"/>
      <c r="AZ284" s="54"/>
    </row>
    <row r="285" spans="1:52" ht="13" customHeight="1">
      <c r="A285" s="24" t="s">
        <v>261</v>
      </c>
      <c r="B285" s="24" t="s">
        <v>254</v>
      </c>
      <c r="C285" s="59"/>
      <c r="D285" s="39" t="s">
        <v>262</v>
      </c>
      <c r="E285" s="24" t="s">
        <v>263</v>
      </c>
      <c r="F285" s="24" t="s">
        <v>264</v>
      </c>
      <c r="G285" s="25" t="s">
        <v>265</v>
      </c>
      <c r="H285" s="38"/>
      <c r="I285" s="208" t="s">
        <v>289</v>
      </c>
      <c r="J285" s="202" t="s">
        <v>267</v>
      </c>
      <c r="K285" s="36">
        <f t="shared" ref="K285:P285" si="19">7</f>
        <v>7</v>
      </c>
      <c r="L285" s="64">
        <f t="shared" si="19"/>
        <v>7</v>
      </c>
      <c r="M285" s="65">
        <f t="shared" si="19"/>
        <v>7</v>
      </c>
      <c r="N285" s="65">
        <f t="shared" si="19"/>
        <v>7</v>
      </c>
      <c r="O285" s="65">
        <f t="shared" si="19"/>
        <v>7</v>
      </c>
      <c r="P285" s="65">
        <f t="shared" si="19"/>
        <v>7</v>
      </c>
      <c r="Q285" s="66"/>
      <c r="R285" s="66"/>
      <c r="S285" s="66"/>
      <c r="T285" s="66"/>
      <c r="U285" s="66"/>
      <c r="V285" s="65">
        <f>7</f>
        <v>7</v>
      </c>
      <c r="W285" s="66"/>
      <c r="X285" s="66"/>
      <c r="Y285" s="66"/>
      <c r="Z285" s="66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59"/>
      <c r="AR285" s="59"/>
      <c r="AS285" s="53"/>
      <c r="AT285" s="53"/>
      <c r="AU285" s="53"/>
      <c r="AV285" s="53"/>
      <c r="AW285" s="53"/>
      <c r="AX285" s="53"/>
      <c r="AY285" s="53"/>
      <c r="AZ285" s="54"/>
    </row>
    <row r="286" spans="1:52" ht="13" customHeight="1">
      <c r="A286" s="24" t="s">
        <v>261</v>
      </c>
      <c r="B286" s="24" t="s">
        <v>254</v>
      </c>
      <c r="C286" s="59"/>
      <c r="D286" s="39" t="s">
        <v>262</v>
      </c>
      <c r="E286" s="24" t="s">
        <v>263</v>
      </c>
      <c r="F286" s="24" t="s">
        <v>264</v>
      </c>
      <c r="G286" s="25" t="s">
        <v>265</v>
      </c>
      <c r="H286" s="38"/>
      <c r="I286" s="208" t="s">
        <v>290</v>
      </c>
      <c r="J286" s="202" t="s">
        <v>269</v>
      </c>
      <c r="K286" s="36">
        <f>0.9</f>
        <v>0.9</v>
      </c>
      <c r="L286" s="64">
        <f>0.9</f>
        <v>0.9</v>
      </c>
      <c r="M286" s="65">
        <f>0.8</f>
        <v>0.8</v>
      </c>
      <c r="N286" s="65">
        <f>0.8</f>
        <v>0.8</v>
      </c>
      <c r="O286" s="78">
        <f>0.8</f>
        <v>0.8</v>
      </c>
      <c r="P286" s="78">
        <f>0.7</f>
        <v>0.7</v>
      </c>
      <c r="Q286" s="66"/>
      <c r="R286" s="66"/>
      <c r="S286" s="66"/>
      <c r="T286" s="66"/>
      <c r="U286" s="66"/>
      <c r="V286" s="65">
        <f>0.7</f>
        <v>0.7</v>
      </c>
      <c r="W286" s="66"/>
      <c r="X286" s="66"/>
      <c r="Y286" s="66"/>
      <c r="Z286" s="66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59"/>
      <c r="AR286" s="59"/>
      <c r="AS286" s="53"/>
      <c r="AT286" s="53"/>
      <c r="AU286" s="53"/>
      <c r="AV286" s="53"/>
      <c r="AW286" s="53"/>
      <c r="AX286" s="53"/>
      <c r="AY286" s="53"/>
      <c r="AZ286" s="54"/>
    </row>
    <row r="287" spans="1:52" ht="13" customHeight="1">
      <c r="A287" s="24" t="s">
        <v>261</v>
      </c>
      <c r="B287" s="24" t="s">
        <v>254</v>
      </c>
      <c r="C287" s="59"/>
      <c r="D287" s="39" t="s">
        <v>262</v>
      </c>
      <c r="E287" s="24" t="s">
        <v>263</v>
      </c>
      <c r="F287" s="24" t="s">
        <v>264</v>
      </c>
      <c r="G287" s="25" t="s">
        <v>265</v>
      </c>
      <c r="H287" s="38"/>
      <c r="I287" s="208" t="s">
        <v>291</v>
      </c>
      <c r="J287" s="199" t="s">
        <v>98</v>
      </c>
      <c r="K287" s="203">
        <f>1</f>
        <v>1</v>
      </c>
      <c r="L287" s="62">
        <f>0.96</f>
        <v>0.96</v>
      </c>
      <c r="M287" s="63">
        <f>0.9</f>
        <v>0.9</v>
      </c>
      <c r="N287" s="63">
        <f>0.86</f>
        <v>0.86</v>
      </c>
      <c r="O287" s="63">
        <f>0.83</f>
        <v>0.83</v>
      </c>
      <c r="P287" s="63">
        <f>0.82</f>
        <v>0.82</v>
      </c>
      <c r="Q287" s="66"/>
      <c r="R287" s="66"/>
      <c r="S287" s="66"/>
      <c r="T287" s="66"/>
      <c r="U287" s="66"/>
      <c r="V287" s="63">
        <f>0.76</f>
        <v>0.76</v>
      </c>
      <c r="W287" s="66"/>
      <c r="X287" s="66"/>
      <c r="Y287" s="66"/>
      <c r="Z287" s="66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59"/>
      <c r="AR287" s="59"/>
      <c r="AS287" s="53"/>
      <c r="AT287" s="53"/>
      <c r="AU287" s="53"/>
      <c r="AV287" s="53"/>
      <c r="AW287" s="53"/>
      <c r="AX287" s="53"/>
      <c r="AY287" s="53"/>
      <c r="AZ287" s="54"/>
    </row>
    <row r="288" spans="1:52" ht="13" customHeight="1">
      <c r="A288" s="24" t="s">
        <v>261</v>
      </c>
      <c r="B288" s="24" t="s">
        <v>254</v>
      </c>
      <c r="C288" s="59"/>
      <c r="D288" s="39" t="s">
        <v>262</v>
      </c>
      <c r="E288" s="24" t="s">
        <v>263</v>
      </c>
      <c r="F288" s="24" t="s">
        <v>264</v>
      </c>
      <c r="G288" s="25" t="s">
        <v>265</v>
      </c>
      <c r="H288" s="38"/>
      <c r="I288" s="208" t="s">
        <v>292</v>
      </c>
      <c r="J288" s="202" t="s">
        <v>267</v>
      </c>
      <c r="K288" s="36">
        <f>62</f>
        <v>62</v>
      </c>
      <c r="L288" s="64">
        <f>58</f>
        <v>58</v>
      </c>
      <c r="M288" s="65">
        <f>59</f>
        <v>59</v>
      </c>
      <c r="N288" s="65">
        <f>59</f>
        <v>59</v>
      </c>
      <c r="O288" s="65">
        <f>58</f>
        <v>58</v>
      </c>
      <c r="P288" s="65">
        <f>57</f>
        <v>57</v>
      </c>
      <c r="Q288" s="66"/>
      <c r="R288" s="66"/>
      <c r="S288" s="66"/>
      <c r="T288" s="66"/>
      <c r="U288" s="66"/>
      <c r="V288" s="65">
        <f>53</f>
        <v>53</v>
      </c>
      <c r="W288" s="66"/>
      <c r="X288" s="66"/>
      <c r="Y288" s="66"/>
      <c r="Z288" s="66"/>
      <c r="AA288" s="65"/>
      <c r="AB288" s="65"/>
      <c r="AC288" s="65"/>
      <c r="AD288" s="65"/>
      <c r="AE288" s="65"/>
      <c r="AF288" s="65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59"/>
      <c r="AR288" s="59"/>
      <c r="AS288" s="53"/>
      <c r="AT288" s="53"/>
      <c r="AU288" s="53"/>
      <c r="AV288" s="53"/>
      <c r="AW288" s="53"/>
      <c r="AX288" s="53"/>
      <c r="AY288" s="53"/>
      <c r="AZ288" s="54"/>
    </row>
    <row r="289" spans="1:52" ht="13" customHeight="1">
      <c r="A289" s="24" t="s">
        <v>261</v>
      </c>
      <c r="B289" s="24" t="s">
        <v>254</v>
      </c>
      <c r="C289" s="59"/>
      <c r="D289" s="39" t="s">
        <v>262</v>
      </c>
      <c r="E289" s="24" t="s">
        <v>271</v>
      </c>
      <c r="F289" s="24" t="s">
        <v>264</v>
      </c>
      <c r="G289" s="25" t="s">
        <v>265</v>
      </c>
      <c r="H289" s="38"/>
      <c r="I289" s="208" t="s">
        <v>293</v>
      </c>
      <c r="J289" s="202" t="s">
        <v>269</v>
      </c>
      <c r="K289" s="36">
        <f>2.2</f>
        <v>2.2000000000000002</v>
      </c>
      <c r="L289" s="68">
        <f>2</f>
        <v>2</v>
      </c>
      <c r="M289" s="78">
        <f>2</f>
        <v>2</v>
      </c>
      <c r="N289" s="78">
        <f>1.9</f>
        <v>1.9</v>
      </c>
      <c r="O289" s="65">
        <f>1.9</f>
        <v>1.9</v>
      </c>
      <c r="P289" s="78">
        <f>1.8</f>
        <v>1.8</v>
      </c>
      <c r="Q289" s="66"/>
      <c r="R289" s="66"/>
      <c r="S289" s="66"/>
      <c r="T289" s="66"/>
      <c r="U289" s="66"/>
      <c r="V289" s="65">
        <f>1.2</f>
        <v>1.2</v>
      </c>
      <c r="W289" s="66"/>
      <c r="X289" s="66"/>
      <c r="Y289" s="66"/>
      <c r="Z289" s="66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59"/>
      <c r="AR289" s="59"/>
      <c r="AS289" s="53"/>
      <c r="AT289" s="53"/>
      <c r="AU289" s="53"/>
      <c r="AV289" s="53"/>
      <c r="AW289" s="53"/>
      <c r="AX289" s="53"/>
      <c r="AY289" s="53"/>
      <c r="AZ289" s="54"/>
    </row>
    <row r="290" spans="1:52" ht="13" customHeight="1">
      <c r="A290" s="24" t="s">
        <v>261</v>
      </c>
      <c r="B290" s="24" t="s">
        <v>254</v>
      </c>
      <c r="C290" s="59"/>
      <c r="D290" s="39" t="s">
        <v>262</v>
      </c>
      <c r="E290" s="24" t="s">
        <v>263</v>
      </c>
      <c r="F290" s="24" t="s">
        <v>264</v>
      </c>
      <c r="G290" s="25" t="s">
        <v>265</v>
      </c>
      <c r="H290" s="38"/>
      <c r="I290" s="208" t="s">
        <v>294</v>
      </c>
      <c r="J290" s="199" t="s">
        <v>98</v>
      </c>
      <c r="K290" s="203">
        <f>1</f>
        <v>1</v>
      </c>
      <c r="L290" s="62">
        <v>0.94</v>
      </c>
      <c r="M290" s="63">
        <f>0.91</f>
        <v>0.91</v>
      </c>
      <c r="N290" s="63">
        <f>0.89</f>
        <v>0.89</v>
      </c>
      <c r="O290" s="63">
        <f>0.86</f>
        <v>0.86</v>
      </c>
      <c r="P290" s="63">
        <f>0.82</f>
        <v>0.82</v>
      </c>
      <c r="Q290" s="66"/>
      <c r="R290" s="66"/>
      <c r="S290" s="66"/>
      <c r="T290" s="66"/>
      <c r="U290" s="66"/>
      <c r="V290" s="63">
        <f>0.56</f>
        <v>0.56000000000000005</v>
      </c>
      <c r="W290" s="66"/>
      <c r="X290" s="66"/>
      <c r="Y290" s="66"/>
      <c r="Z290" s="66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59"/>
      <c r="AR290" s="59"/>
      <c r="AS290" s="53"/>
      <c r="AT290" s="53"/>
      <c r="AU290" s="53"/>
      <c r="AV290" s="53"/>
      <c r="AW290" s="53"/>
      <c r="AX290" s="53"/>
      <c r="AY290" s="53"/>
      <c r="AZ290" s="54"/>
    </row>
    <row r="291" spans="1:52" ht="13" customHeight="1">
      <c r="A291" s="24" t="s">
        <v>261</v>
      </c>
      <c r="B291" s="24" t="s">
        <v>254</v>
      </c>
      <c r="C291" s="59"/>
      <c r="D291" s="39" t="s">
        <v>262</v>
      </c>
      <c r="E291" s="24" t="s">
        <v>263</v>
      </c>
      <c r="F291" s="24" t="s">
        <v>264</v>
      </c>
      <c r="G291" s="25" t="s">
        <v>265</v>
      </c>
      <c r="H291" s="38"/>
      <c r="I291" s="208" t="s">
        <v>295</v>
      </c>
      <c r="J291" s="202" t="s">
        <v>267</v>
      </c>
      <c r="K291" s="36">
        <f>58</f>
        <v>58</v>
      </c>
      <c r="L291" s="64">
        <f>52</f>
        <v>52</v>
      </c>
      <c r="M291" s="65">
        <f>53</f>
        <v>53</v>
      </c>
      <c r="N291" s="65">
        <f>53</f>
        <v>53</v>
      </c>
      <c r="O291" s="65">
        <f>54</f>
        <v>54</v>
      </c>
      <c r="P291" s="65">
        <f>54</f>
        <v>54</v>
      </c>
      <c r="Q291" s="66"/>
      <c r="R291" s="66"/>
      <c r="S291" s="66"/>
      <c r="T291" s="66"/>
      <c r="U291" s="66"/>
      <c r="V291" s="65">
        <f>55</f>
        <v>55</v>
      </c>
      <c r="W291" s="66"/>
      <c r="X291" s="66"/>
      <c r="Y291" s="66"/>
      <c r="Z291" s="66"/>
      <c r="AA291" s="65"/>
      <c r="AB291" s="65"/>
      <c r="AC291" s="65"/>
      <c r="AD291" s="65"/>
      <c r="AE291" s="65"/>
      <c r="AF291" s="65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59"/>
      <c r="AR291" s="59"/>
      <c r="AS291" s="53"/>
      <c r="AT291" s="53"/>
      <c r="AU291" s="53"/>
      <c r="AV291" s="53"/>
      <c r="AW291" s="53"/>
      <c r="AX291" s="53"/>
      <c r="AY291" s="53"/>
      <c r="AZ291" s="54"/>
    </row>
    <row r="292" spans="1:52" ht="13" customHeight="1">
      <c r="A292" s="24" t="s">
        <v>261</v>
      </c>
      <c r="B292" s="24" t="s">
        <v>254</v>
      </c>
      <c r="C292" s="59"/>
      <c r="D292" s="39" t="s">
        <v>262</v>
      </c>
      <c r="E292" s="24" t="s">
        <v>296</v>
      </c>
      <c r="F292" s="24" t="s">
        <v>264</v>
      </c>
      <c r="G292" s="25" t="s">
        <v>265</v>
      </c>
      <c r="H292" s="38"/>
      <c r="I292" s="211" t="s">
        <v>297</v>
      </c>
      <c r="J292" s="202" t="s">
        <v>269</v>
      </c>
      <c r="K292" s="36">
        <f>5.2</f>
        <v>5.2</v>
      </c>
      <c r="L292" s="68">
        <f>4.9</f>
        <v>4.9000000000000004</v>
      </c>
      <c r="M292" s="78">
        <f>4.7</f>
        <v>4.7</v>
      </c>
      <c r="N292" s="78">
        <f>4.7</f>
        <v>4.7</v>
      </c>
      <c r="O292" s="65">
        <f>4.6</f>
        <v>4.5999999999999996</v>
      </c>
      <c r="P292" s="78">
        <f>4.5</f>
        <v>4.5</v>
      </c>
      <c r="Q292" s="66"/>
      <c r="R292" s="66"/>
      <c r="S292" s="66"/>
      <c r="T292" s="66"/>
      <c r="U292" s="66"/>
      <c r="V292" s="65">
        <f>4.4</f>
        <v>4.4000000000000004</v>
      </c>
      <c r="W292" s="66"/>
      <c r="X292" s="66"/>
      <c r="Y292" s="66"/>
      <c r="Z292" s="66"/>
      <c r="AA292" s="65"/>
      <c r="AB292" s="65"/>
      <c r="AC292" s="65"/>
      <c r="AD292" s="65"/>
      <c r="AE292" s="65"/>
      <c r="AF292" s="65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59"/>
      <c r="AR292" s="59"/>
      <c r="AS292" s="53"/>
      <c r="AT292" s="53"/>
      <c r="AU292" s="53"/>
      <c r="AV292" s="53"/>
      <c r="AW292" s="53"/>
      <c r="AX292" s="53"/>
      <c r="AY292" s="53"/>
      <c r="AZ292" s="54"/>
    </row>
    <row r="293" spans="1:52" ht="13" customHeight="1">
      <c r="A293" s="24" t="s">
        <v>261</v>
      </c>
      <c r="B293" s="24" t="s">
        <v>254</v>
      </c>
      <c r="C293" s="59"/>
      <c r="D293" s="39" t="s">
        <v>262</v>
      </c>
      <c r="E293" s="24" t="s">
        <v>263</v>
      </c>
      <c r="F293" s="24" t="s">
        <v>264</v>
      </c>
      <c r="G293" s="25" t="s">
        <v>265</v>
      </c>
      <c r="H293" s="38"/>
      <c r="I293" s="208" t="s">
        <v>298</v>
      </c>
      <c r="J293" s="199" t="s">
        <v>98</v>
      </c>
      <c r="K293" s="203">
        <f>1</f>
        <v>1</v>
      </c>
      <c r="L293" s="62">
        <f>0.94</f>
        <v>0.94</v>
      </c>
      <c r="M293" s="63">
        <f>0.91</f>
        <v>0.91</v>
      </c>
      <c r="N293" s="63">
        <f>0.9</f>
        <v>0.9</v>
      </c>
      <c r="O293" s="63">
        <f>0.88</f>
        <v>0.88</v>
      </c>
      <c r="P293" s="63">
        <f>0.87</f>
        <v>0.87</v>
      </c>
      <c r="Q293" s="66"/>
      <c r="R293" s="66"/>
      <c r="S293" s="66"/>
      <c r="T293" s="66"/>
      <c r="U293" s="66"/>
      <c r="V293" s="63">
        <f>0.84</f>
        <v>0.84</v>
      </c>
      <c r="W293" s="66"/>
      <c r="X293" s="66"/>
      <c r="Y293" s="66"/>
      <c r="Z293" s="66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59"/>
      <c r="AR293" s="59"/>
      <c r="AS293" s="53"/>
      <c r="AT293" s="53"/>
      <c r="AU293" s="53"/>
      <c r="AV293" s="53"/>
      <c r="AW293" s="53"/>
      <c r="AX293" s="53"/>
      <c r="AY293" s="53"/>
      <c r="AZ293" s="54"/>
    </row>
    <row r="294" spans="1:52" ht="13" customHeight="1">
      <c r="A294" s="24" t="s">
        <v>261</v>
      </c>
      <c r="B294" s="24" t="s">
        <v>254</v>
      </c>
      <c r="C294" s="59"/>
      <c r="D294" s="39" t="s">
        <v>262</v>
      </c>
      <c r="E294" s="24" t="s">
        <v>263</v>
      </c>
      <c r="F294" s="24" t="s">
        <v>264</v>
      </c>
      <c r="G294" s="25" t="s">
        <v>265</v>
      </c>
      <c r="H294" s="38"/>
      <c r="I294" s="206" t="s">
        <v>299</v>
      </c>
      <c r="J294" s="202" t="s">
        <v>267</v>
      </c>
      <c r="K294" s="36">
        <f>202</f>
        <v>202</v>
      </c>
      <c r="L294" s="64">
        <f>181</f>
        <v>181</v>
      </c>
      <c r="M294" s="65">
        <f>185</f>
        <v>185</v>
      </c>
      <c r="N294" s="65">
        <f>188</f>
        <v>188</v>
      </c>
      <c r="O294" s="65">
        <f>186</f>
        <v>186</v>
      </c>
      <c r="P294" s="65">
        <f>184</f>
        <v>184</v>
      </c>
      <c r="Q294" s="65"/>
      <c r="R294" s="65"/>
      <c r="S294" s="65"/>
      <c r="T294" s="65"/>
      <c r="U294" s="65"/>
      <c r="V294" s="65">
        <f>167</f>
        <v>167</v>
      </c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59"/>
      <c r="AR294" s="59"/>
      <c r="AS294" s="53"/>
      <c r="AT294" s="53"/>
      <c r="AU294" s="53"/>
      <c r="AV294" s="53"/>
      <c r="AW294" s="53"/>
      <c r="AX294" s="53"/>
      <c r="AY294" s="53"/>
      <c r="AZ294" s="54"/>
    </row>
    <row r="295" spans="1:52" ht="13" customHeight="1">
      <c r="A295" s="24" t="s">
        <v>261</v>
      </c>
      <c r="B295" s="24" t="s">
        <v>254</v>
      </c>
      <c r="C295" s="59"/>
      <c r="D295" s="39" t="s">
        <v>262</v>
      </c>
      <c r="E295" s="24" t="s">
        <v>271</v>
      </c>
      <c r="F295" s="24" t="s">
        <v>264</v>
      </c>
      <c r="G295" s="25" t="s">
        <v>265</v>
      </c>
      <c r="H295" s="38"/>
      <c r="I295" s="206" t="s">
        <v>300</v>
      </c>
      <c r="J295" s="202" t="s">
        <v>269</v>
      </c>
      <c r="K295" s="36">
        <f>11.3</f>
        <v>11.3</v>
      </c>
      <c r="L295" s="64">
        <f>10.8</f>
        <v>10.8</v>
      </c>
      <c r="M295" s="65">
        <f>10.6</f>
        <v>10.6</v>
      </c>
      <c r="N295" s="65">
        <f>10.3</f>
        <v>10.3</v>
      </c>
      <c r="O295" s="65">
        <f>10.1</f>
        <v>10.1</v>
      </c>
      <c r="P295" s="65">
        <f>9.9</f>
        <v>9.9</v>
      </c>
      <c r="Q295" s="65"/>
      <c r="R295" s="65"/>
      <c r="S295" s="65"/>
      <c r="T295" s="65"/>
      <c r="U295" s="65"/>
      <c r="V295" s="65">
        <f>8.7</f>
        <v>8.6999999999999993</v>
      </c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59"/>
      <c r="AR295" s="59"/>
      <c r="AS295" s="53"/>
      <c r="AT295" s="53"/>
      <c r="AU295" s="53"/>
      <c r="AV295" s="53"/>
      <c r="AW295" s="53"/>
      <c r="AX295" s="53"/>
      <c r="AY295" s="53"/>
      <c r="AZ295" s="54"/>
    </row>
    <row r="296" spans="1:52" ht="13" customHeight="1">
      <c r="A296" s="24" t="s">
        <v>261</v>
      </c>
      <c r="B296" s="24" t="s">
        <v>254</v>
      </c>
      <c r="C296" s="59"/>
      <c r="D296" s="39" t="s">
        <v>262</v>
      </c>
      <c r="E296" s="24" t="s">
        <v>263</v>
      </c>
      <c r="F296" s="24" t="s">
        <v>264</v>
      </c>
      <c r="G296" s="25" t="s">
        <v>265</v>
      </c>
      <c r="H296" s="38"/>
      <c r="I296" s="212" t="s">
        <v>301</v>
      </c>
      <c r="J296" s="202" t="s">
        <v>302</v>
      </c>
      <c r="K296" s="36">
        <f>158</f>
        <v>158</v>
      </c>
      <c r="L296" s="64">
        <f>138</f>
        <v>138</v>
      </c>
      <c r="M296" s="65">
        <f>132</f>
        <v>132</v>
      </c>
      <c r="N296" s="65">
        <f>124</f>
        <v>124</v>
      </c>
      <c r="O296" s="65">
        <f>118</f>
        <v>118</v>
      </c>
      <c r="P296" s="65">
        <f>111</f>
        <v>111</v>
      </c>
      <c r="Q296" s="65"/>
      <c r="R296" s="65"/>
      <c r="S296" s="65"/>
      <c r="T296" s="65"/>
      <c r="U296" s="65"/>
      <c r="V296" s="65">
        <f>100</f>
        <v>100</v>
      </c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59"/>
      <c r="AR296" s="59"/>
      <c r="AS296" s="53"/>
      <c r="AT296" s="53"/>
      <c r="AU296" s="53"/>
      <c r="AV296" s="53"/>
      <c r="AW296" s="53"/>
      <c r="AX296" s="53"/>
      <c r="AY296" s="53"/>
      <c r="AZ296" s="54"/>
    </row>
    <row r="297" spans="1:52" ht="13" customHeight="1">
      <c r="A297" s="24" t="s">
        <v>261</v>
      </c>
      <c r="B297" s="24" t="s">
        <v>254</v>
      </c>
      <c r="C297" s="59"/>
      <c r="D297" s="39" t="s">
        <v>262</v>
      </c>
      <c r="E297" s="24" t="s">
        <v>263</v>
      </c>
      <c r="F297" s="24" t="s">
        <v>264</v>
      </c>
      <c r="G297" s="25" t="s">
        <v>265</v>
      </c>
      <c r="H297" s="38"/>
      <c r="I297" s="212" t="s">
        <v>303</v>
      </c>
      <c r="J297" s="202" t="s">
        <v>304</v>
      </c>
      <c r="K297" s="36">
        <f>35</f>
        <v>35</v>
      </c>
      <c r="L297" s="64">
        <f>35</f>
        <v>35</v>
      </c>
      <c r="M297" s="65">
        <f>34</f>
        <v>34</v>
      </c>
      <c r="N297" s="65">
        <f>33</f>
        <v>33</v>
      </c>
      <c r="O297" s="65">
        <f>32</f>
        <v>32</v>
      </c>
      <c r="P297" s="65">
        <f>31</f>
        <v>31</v>
      </c>
      <c r="Q297" s="65"/>
      <c r="R297" s="65"/>
      <c r="S297" s="65"/>
      <c r="T297" s="65"/>
      <c r="U297" s="65"/>
      <c r="V297" s="65">
        <f>25</f>
        <v>25</v>
      </c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59"/>
      <c r="AR297" s="59"/>
      <c r="AS297" s="53"/>
      <c r="AT297" s="53"/>
      <c r="AU297" s="53"/>
      <c r="AV297" s="53"/>
      <c r="AW297" s="53"/>
      <c r="AX297" s="53"/>
      <c r="AY297" s="53"/>
      <c r="AZ297" s="54"/>
    </row>
    <row r="298" spans="1:52" ht="13" customHeight="1">
      <c r="A298" s="24" t="s">
        <v>261</v>
      </c>
      <c r="B298" s="24" t="s">
        <v>254</v>
      </c>
      <c r="C298" s="59"/>
      <c r="D298" s="39" t="s">
        <v>262</v>
      </c>
      <c r="E298" s="24" t="s">
        <v>263</v>
      </c>
      <c r="F298" s="24" t="s">
        <v>264</v>
      </c>
      <c r="G298" s="25" t="s">
        <v>265</v>
      </c>
      <c r="H298" s="38"/>
      <c r="I298" s="212" t="s">
        <v>305</v>
      </c>
      <c r="J298" s="202" t="s">
        <v>302</v>
      </c>
      <c r="K298" s="36">
        <f>177</f>
        <v>177</v>
      </c>
      <c r="L298" s="64">
        <f>177</f>
        <v>177</v>
      </c>
      <c r="M298" s="65">
        <f>176</f>
        <v>176</v>
      </c>
      <c r="N298" s="65">
        <f>176</f>
        <v>176</v>
      </c>
      <c r="O298" s="65">
        <f>176</f>
        <v>176</v>
      </c>
      <c r="P298" s="65">
        <f>176</f>
        <v>176</v>
      </c>
      <c r="Q298" s="65"/>
      <c r="R298" s="65"/>
      <c r="S298" s="65"/>
      <c r="T298" s="65"/>
      <c r="U298" s="65"/>
      <c r="V298" s="65">
        <f>159</f>
        <v>159</v>
      </c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  <c r="AO298" s="65"/>
      <c r="AP298" s="65"/>
      <c r="AQ298" s="59"/>
      <c r="AR298" s="59"/>
      <c r="AS298" s="53"/>
      <c r="AT298" s="53"/>
      <c r="AU298" s="53"/>
      <c r="AV298" s="53"/>
      <c r="AW298" s="53"/>
      <c r="AX298" s="53"/>
      <c r="AY298" s="53"/>
      <c r="AZ298" s="54"/>
    </row>
    <row r="299" spans="1:52" ht="13" customHeight="1">
      <c r="A299" s="24" t="s">
        <v>261</v>
      </c>
      <c r="B299" s="24" t="s">
        <v>254</v>
      </c>
      <c r="C299" s="59"/>
      <c r="D299" s="39" t="s">
        <v>262</v>
      </c>
      <c r="E299" s="24" t="s">
        <v>263</v>
      </c>
      <c r="F299" s="24" t="s">
        <v>264</v>
      </c>
      <c r="G299" s="25" t="s">
        <v>265</v>
      </c>
      <c r="H299" s="38"/>
      <c r="I299" s="206" t="s">
        <v>306</v>
      </c>
      <c r="J299" s="199" t="s">
        <v>98</v>
      </c>
      <c r="K299" s="203">
        <f>1</f>
        <v>1</v>
      </c>
      <c r="L299" s="71">
        <f>0.96</f>
        <v>0.96</v>
      </c>
      <c r="M299" s="72">
        <f>0.94</f>
        <v>0.94</v>
      </c>
      <c r="N299" s="72">
        <f>0.92</f>
        <v>0.92</v>
      </c>
      <c r="O299" s="72">
        <f>0.9</f>
        <v>0.9</v>
      </c>
      <c r="P299" s="72">
        <f>0.88</f>
        <v>0.88</v>
      </c>
      <c r="Q299" s="25"/>
      <c r="R299" s="25"/>
      <c r="S299" s="25"/>
      <c r="T299" s="25"/>
      <c r="U299" s="25"/>
      <c r="V299" s="72">
        <f>0.77</f>
        <v>0.77</v>
      </c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59"/>
      <c r="AR299" s="59"/>
      <c r="AS299" s="53"/>
      <c r="AT299" s="53"/>
      <c r="AU299" s="53"/>
      <c r="AV299" s="53"/>
      <c r="AW299" s="53"/>
      <c r="AX299" s="53"/>
      <c r="AY299" s="53"/>
      <c r="AZ299" s="54"/>
    </row>
    <row r="300" spans="1:52" ht="13" customHeight="1">
      <c r="A300" s="24" t="s">
        <v>261</v>
      </c>
      <c r="B300" s="24" t="s">
        <v>254</v>
      </c>
      <c r="C300" s="59"/>
      <c r="D300" s="39" t="s">
        <v>262</v>
      </c>
      <c r="E300" s="24" t="s">
        <v>263</v>
      </c>
      <c r="F300" s="24" t="s">
        <v>264</v>
      </c>
      <c r="G300" s="25" t="s">
        <v>265</v>
      </c>
      <c r="H300" s="38"/>
      <c r="I300" s="206" t="s">
        <v>307</v>
      </c>
      <c r="J300" s="199" t="s">
        <v>98</v>
      </c>
      <c r="K300" s="203">
        <f>0.35</f>
        <v>0.35</v>
      </c>
      <c r="L300" s="71">
        <f>0.38</f>
        <v>0.38</v>
      </c>
      <c r="M300" s="72">
        <f>0.4</f>
        <v>0.4</v>
      </c>
      <c r="N300" s="72">
        <f>0.43</f>
        <v>0.43</v>
      </c>
      <c r="O300" s="72">
        <f>0.45</f>
        <v>0.45</v>
      </c>
      <c r="P300" s="72">
        <f>0.48</f>
        <v>0.48</v>
      </c>
      <c r="Q300" s="25"/>
      <c r="R300" s="25"/>
      <c r="S300" s="25"/>
      <c r="T300" s="25"/>
      <c r="U300" s="25"/>
      <c r="V300" s="72">
        <f>0.6</f>
        <v>0.6</v>
      </c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59"/>
      <c r="AR300" s="59"/>
      <c r="AS300" s="53"/>
      <c r="AT300" s="53"/>
      <c r="AU300" s="53"/>
      <c r="AV300" s="53"/>
      <c r="AW300" s="53"/>
      <c r="AX300" s="53"/>
      <c r="AY300" s="53"/>
      <c r="AZ300" s="54"/>
    </row>
    <row r="301" spans="1:52" ht="13" customHeight="1">
      <c r="A301" s="24" t="s">
        <v>261</v>
      </c>
      <c r="B301" s="24" t="s">
        <v>254</v>
      </c>
      <c r="C301" s="59"/>
      <c r="D301" s="39" t="s">
        <v>262</v>
      </c>
      <c r="E301" s="24" t="s">
        <v>263</v>
      </c>
      <c r="F301" s="24" t="s">
        <v>264</v>
      </c>
      <c r="G301" s="25" t="s">
        <v>265</v>
      </c>
      <c r="H301" s="38"/>
      <c r="I301" s="206" t="s">
        <v>308</v>
      </c>
      <c r="J301" s="199" t="s">
        <v>98</v>
      </c>
      <c r="K301" s="203">
        <f>0.02</f>
        <v>0.02</v>
      </c>
      <c r="L301" s="71">
        <f>0.02</f>
        <v>0.02</v>
      </c>
      <c r="M301" s="72">
        <f>0.02</f>
        <v>0.02</v>
      </c>
      <c r="N301" s="72">
        <f>0.03</f>
        <v>0.03</v>
      </c>
      <c r="O301" s="72">
        <f>0.06</f>
        <v>0.06</v>
      </c>
      <c r="P301" s="72">
        <f>0.08</f>
        <v>0.08</v>
      </c>
      <c r="Q301" s="25"/>
      <c r="R301" s="25"/>
      <c r="S301" s="25"/>
      <c r="T301" s="25"/>
      <c r="U301" s="25"/>
      <c r="V301" s="72">
        <f>0.1</f>
        <v>0.1</v>
      </c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59"/>
      <c r="AR301" s="59"/>
      <c r="AS301" s="53"/>
      <c r="AT301" s="53"/>
      <c r="AU301" s="53"/>
      <c r="AV301" s="53"/>
      <c r="AW301" s="53"/>
      <c r="AX301" s="53"/>
      <c r="AY301" s="53"/>
      <c r="AZ301" s="54"/>
    </row>
    <row r="302" spans="1:52" ht="13" customHeight="1">
      <c r="A302" s="24" t="s">
        <v>309</v>
      </c>
      <c r="B302" s="24" t="s">
        <v>310</v>
      </c>
      <c r="C302" s="59"/>
      <c r="D302" s="39" t="s">
        <v>311</v>
      </c>
      <c r="E302" s="25" t="s">
        <v>257</v>
      </c>
      <c r="F302" s="25" t="s">
        <v>264</v>
      </c>
      <c r="G302" s="25" t="s">
        <v>259</v>
      </c>
      <c r="H302" s="38"/>
      <c r="I302" s="210" t="s">
        <v>260</v>
      </c>
      <c r="J302" s="202" t="s">
        <v>98</v>
      </c>
      <c r="K302" s="134"/>
      <c r="L302" s="64"/>
      <c r="M302" s="47">
        <f>0.028</f>
        <v>2.8000000000000001E-2</v>
      </c>
      <c r="N302" s="47">
        <f t="shared" ref="N302:V302" si="20">0.028</f>
        <v>2.8000000000000001E-2</v>
      </c>
      <c r="O302" s="47">
        <f t="shared" si="20"/>
        <v>2.8000000000000001E-2</v>
      </c>
      <c r="P302" s="47">
        <f t="shared" si="20"/>
        <v>2.8000000000000001E-2</v>
      </c>
      <c r="Q302" s="47">
        <f t="shared" si="20"/>
        <v>2.8000000000000001E-2</v>
      </c>
      <c r="R302" s="47">
        <f t="shared" si="20"/>
        <v>2.8000000000000001E-2</v>
      </c>
      <c r="S302" s="47">
        <f t="shared" si="20"/>
        <v>2.8000000000000001E-2</v>
      </c>
      <c r="T302" s="47">
        <f t="shared" si="20"/>
        <v>2.8000000000000001E-2</v>
      </c>
      <c r="U302" s="47">
        <f t="shared" si="20"/>
        <v>2.8000000000000001E-2</v>
      </c>
      <c r="V302" s="47">
        <f t="shared" si="20"/>
        <v>2.8000000000000001E-2</v>
      </c>
      <c r="W302" s="47">
        <f>0.033</f>
        <v>3.3000000000000002E-2</v>
      </c>
      <c r="X302" s="47">
        <f t="shared" ref="X302:AZ302" si="21">0.033</f>
        <v>3.3000000000000002E-2</v>
      </c>
      <c r="Y302" s="47">
        <f t="shared" si="21"/>
        <v>3.3000000000000002E-2</v>
      </c>
      <c r="Z302" s="47">
        <f t="shared" si="21"/>
        <v>3.3000000000000002E-2</v>
      </c>
      <c r="AA302" s="47">
        <f t="shared" si="21"/>
        <v>3.3000000000000002E-2</v>
      </c>
      <c r="AB302" s="47">
        <f t="shared" si="21"/>
        <v>3.3000000000000002E-2</v>
      </c>
      <c r="AC302" s="47">
        <f t="shared" si="21"/>
        <v>3.3000000000000002E-2</v>
      </c>
      <c r="AD302" s="47">
        <f t="shared" si="21"/>
        <v>3.3000000000000002E-2</v>
      </c>
      <c r="AE302" s="47">
        <f t="shared" si="21"/>
        <v>3.3000000000000002E-2</v>
      </c>
      <c r="AF302" s="47">
        <f t="shared" si="21"/>
        <v>3.3000000000000002E-2</v>
      </c>
      <c r="AG302" s="47">
        <f t="shared" si="21"/>
        <v>3.3000000000000002E-2</v>
      </c>
      <c r="AH302" s="47">
        <f t="shared" si="21"/>
        <v>3.3000000000000002E-2</v>
      </c>
      <c r="AI302" s="47">
        <f t="shared" si="21"/>
        <v>3.3000000000000002E-2</v>
      </c>
      <c r="AJ302" s="47">
        <f t="shared" si="21"/>
        <v>3.3000000000000002E-2</v>
      </c>
      <c r="AK302" s="47">
        <f t="shared" si="21"/>
        <v>3.3000000000000002E-2</v>
      </c>
      <c r="AL302" s="47">
        <f t="shared" si="21"/>
        <v>3.3000000000000002E-2</v>
      </c>
      <c r="AM302" s="47">
        <f t="shared" si="21"/>
        <v>3.3000000000000002E-2</v>
      </c>
      <c r="AN302" s="47">
        <f t="shared" si="21"/>
        <v>3.3000000000000002E-2</v>
      </c>
      <c r="AO302" s="47">
        <f t="shared" si="21"/>
        <v>3.3000000000000002E-2</v>
      </c>
      <c r="AP302" s="47">
        <f t="shared" si="21"/>
        <v>3.3000000000000002E-2</v>
      </c>
      <c r="AQ302" s="47">
        <f t="shared" si="21"/>
        <v>3.3000000000000002E-2</v>
      </c>
      <c r="AR302" s="47">
        <f t="shared" si="21"/>
        <v>3.3000000000000002E-2</v>
      </c>
      <c r="AS302" s="47">
        <f t="shared" si="21"/>
        <v>3.3000000000000002E-2</v>
      </c>
      <c r="AT302" s="47">
        <f t="shared" si="21"/>
        <v>3.3000000000000002E-2</v>
      </c>
      <c r="AU302" s="47">
        <f t="shared" si="21"/>
        <v>3.3000000000000002E-2</v>
      </c>
      <c r="AV302" s="47">
        <f t="shared" si="21"/>
        <v>3.3000000000000002E-2</v>
      </c>
      <c r="AW302" s="47">
        <f t="shared" si="21"/>
        <v>3.3000000000000002E-2</v>
      </c>
      <c r="AX302" s="47">
        <f t="shared" si="21"/>
        <v>3.3000000000000002E-2</v>
      </c>
      <c r="AY302" s="47">
        <f t="shared" si="21"/>
        <v>3.3000000000000002E-2</v>
      </c>
      <c r="AZ302" s="88">
        <f t="shared" si="21"/>
        <v>3.3000000000000002E-2</v>
      </c>
    </row>
    <row r="303" spans="1:52" ht="13" customHeight="1">
      <c r="A303" s="24" t="s">
        <v>309</v>
      </c>
      <c r="B303" s="24" t="s">
        <v>310</v>
      </c>
      <c r="C303" s="73"/>
      <c r="D303" s="39" t="s">
        <v>311</v>
      </c>
      <c r="E303" s="76" t="s">
        <v>312</v>
      </c>
      <c r="F303" s="76" t="s">
        <v>264</v>
      </c>
      <c r="G303" s="25" t="s">
        <v>265</v>
      </c>
      <c r="H303" s="38"/>
      <c r="I303" s="210" t="s">
        <v>260</v>
      </c>
      <c r="J303" s="202" t="s">
        <v>98</v>
      </c>
      <c r="K303" s="134"/>
      <c r="L303" s="64"/>
      <c r="M303" s="47">
        <f>0.027</f>
        <v>2.7E-2</v>
      </c>
      <c r="N303" s="47">
        <f t="shared" ref="N303:V303" si="22">0.027</f>
        <v>2.7E-2</v>
      </c>
      <c r="O303" s="47">
        <f t="shared" si="22"/>
        <v>2.7E-2</v>
      </c>
      <c r="P303" s="47">
        <f t="shared" si="22"/>
        <v>2.7E-2</v>
      </c>
      <c r="Q303" s="47">
        <f t="shared" si="22"/>
        <v>2.7E-2</v>
      </c>
      <c r="R303" s="47">
        <f t="shared" si="22"/>
        <v>2.7E-2</v>
      </c>
      <c r="S303" s="47">
        <f t="shared" si="22"/>
        <v>2.7E-2</v>
      </c>
      <c r="T303" s="47">
        <f t="shared" si="22"/>
        <v>2.7E-2</v>
      </c>
      <c r="U303" s="47">
        <f t="shared" si="22"/>
        <v>2.7E-2</v>
      </c>
      <c r="V303" s="47">
        <f t="shared" si="22"/>
        <v>2.7E-2</v>
      </c>
      <c r="W303" s="47">
        <f>0.03</f>
        <v>0.03</v>
      </c>
      <c r="X303" s="47">
        <f t="shared" ref="X303:AZ303" si="23">0.03</f>
        <v>0.03</v>
      </c>
      <c r="Y303" s="47">
        <f t="shared" si="23"/>
        <v>0.03</v>
      </c>
      <c r="Z303" s="47">
        <f t="shared" si="23"/>
        <v>0.03</v>
      </c>
      <c r="AA303" s="47">
        <f t="shared" si="23"/>
        <v>0.03</v>
      </c>
      <c r="AB303" s="47">
        <f t="shared" si="23"/>
        <v>0.03</v>
      </c>
      <c r="AC303" s="47">
        <f t="shared" si="23"/>
        <v>0.03</v>
      </c>
      <c r="AD303" s="47">
        <f t="shared" si="23"/>
        <v>0.03</v>
      </c>
      <c r="AE303" s="47">
        <f t="shared" si="23"/>
        <v>0.03</v>
      </c>
      <c r="AF303" s="47">
        <f t="shared" si="23"/>
        <v>0.03</v>
      </c>
      <c r="AG303" s="47">
        <f t="shared" si="23"/>
        <v>0.03</v>
      </c>
      <c r="AH303" s="47">
        <f t="shared" si="23"/>
        <v>0.03</v>
      </c>
      <c r="AI303" s="47">
        <f t="shared" si="23"/>
        <v>0.03</v>
      </c>
      <c r="AJ303" s="47">
        <f t="shared" si="23"/>
        <v>0.03</v>
      </c>
      <c r="AK303" s="47">
        <f t="shared" si="23"/>
        <v>0.03</v>
      </c>
      <c r="AL303" s="47">
        <f t="shared" si="23"/>
        <v>0.03</v>
      </c>
      <c r="AM303" s="47">
        <f t="shared" si="23"/>
        <v>0.03</v>
      </c>
      <c r="AN303" s="47">
        <f t="shared" si="23"/>
        <v>0.03</v>
      </c>
      <c r="AO303" s="47">
        <f t="shared" si="23"/>
        <v>0.03</v>
      </c>
      <c r="AP303" s="47">
        <f t="shared" si="23"/>
        <v>0.03</v>
      </c>
      <c r="AQ303" s="47">
        <f t="shared" si="23"/>
        <v>0.03</v>
      </c>
      <c r="AR303" s="47">
        <f t="shared" si="23"/>
        <v>0.03</v>
      </c>
      <c r="AS303" s="47">
        <f t="shared" si="23"/>
        <v>0.03</v>
      </c>
      <c r="AT303" s="47">
        <f t="shared" si="23"/>
        <v>0.03</v>
      </c>
      <c r="AU303" s="47">
        <f t="shared" si="23"/>
        <v>0.03</v>
      </c>
      <c r="AV303" s="47">
        <f t="shared" si="23"/>
        <v>0.03</v>
      </c>
      <c r="AW303" s="47">
        <f t="shared" si="23"/>
        <v>0.03</v>
      </c>
      <c r="AX303" s="47">
        <f t="shared" si="23"/>
        <v>0.03</v>
      </c>
      <c r="AY303" s="47">
        <f t="shared" si="23"/>
        <v>0.03</v>
      </c>
      <c r="AZ303" s="88">
        <f t="shared" si="23"/>
        <v>0.03</v>
      </c>
    </row>
    <row r="304" spans="1:52" ht="13" customHeight="1">
      <c r="A304" s="24" t="s">
        <v>309</v>
      </c>
      <c r="B304" s="24" t="s">
        <v>310</v>
      </c>
      <c r="C304" s="73"/>
      <c r="D304" s="39" t="s">
        <v>311</v>
      </c>
      <c r="E304" s="25" t="s">
        <v>257</v>
      </c>
      <c r="F304" s="25" t="s">
        <v>264</v>
      </c>
      <c r="G304" s="25" t="s">
        <v>259</v>
      </c>
      <c r="H304" s="38"/>
      <c r="I304" s="206" t="s">
        <v>313</v>
      </c>
      <c r="J304" s="199" t="s">
        <v>98</v>
      </c>
      <c r="K304" s="203">
        <f t="shared" ref="K304:K309" si="24">1</f>
        <v>1</v>
      </c>
      <c r="L304" s="71">
        <f>0.99</f>
        <v>0.99</v>
      </c>
      <c r="M304" s="72">
        <f>0.99</f>
        <v>0.99</v>
      </c>
      <c r="N304" s="72"/>
      <c r="O304" s="65"/>
      <c r="P304" s="65"/>
      <c r="Q304" s="72">
        <f>0.92</f>
        <v>0.92</v>
      </c>
      <c r="R304" s="65"/>
      <c r="S304" s="65"/>
      <c r="T304" s="65"/>
      <c r="U304" s="65"/>
      <c r="V304" s="72">
        <f>0.83</f>
        <v>0.83</v>
      </c>
      <c r="W304" s="65"/>
      <c r="X304" s="65"/>
      <c r="Y304" s="65"/>
      <c r="Z304" s="65"/>
      <c r="AA304" s="72">
        <f>0.72</f>
        <v>0.72</v>
      </c>
      <c r="AB304" s="65"/>
      <c r="AC304" s="65"/>
      <c r="AD304" s="65"/>
      <c r="AE304" s="65"/>
      <c r="AF304" s="72">
        <f>0.64</f>
        <v>0.64</v>
      </c>
      <c r="AG304" s="65"/>
      <c r="AH304" s="65"/>
      <c r="AI304" s="65"/>
      <c r="AJ304" s="65"/>
      <c r="AK304" s="65"/>
      <c r="AL304" s="65"/>
      <c r="AM304" s="59"/>
      <c r="AN304" s="59"/>
      <c r="AO304" s="53"/>
      <c r="AP304" s="72">
        <f>0.48</f>
        <v>0.48</v>
      </c>
      <c r="AQ304" s="53"/>
      <c r="AR304" s="53"/>
      <c r="AS304" s="53"/>
      <c r="AT304" s="53"/>
      <c r="AU304" s="53"/>
      <c r="AV304" s="53"/>
      <c r="AW304" s="53"/>
      <c r="AX304" s="53"/>
      <c r="AY304" s="53"/>
      <c r="AZ304" s="74">
        <f>0.36</f>
        <v>0.36</v>
      </c>
    </row>
    <row r="305" spans="1:52" ht="13" customHeight="1">
      <c r="A305" s="24" t="s">
        <v>309</v>
      </c>
      <c r="B305" s="24" t="s">
        <v>310</v>
      </c>
      <c r="C305" s="73"/>
      <c r="D305" s="39" t="s">
        <v>311</v>
      </c>
      <c r="E305" s="25" t="s">
        <v>312</v>
      </c>
      <c r="F305" s="25" t="s">
        <v>264</v>
      </c>
      <c r="G305" s="25" t="s">
        <v>265</v>
      </c>
      <c r="H305" s="38"/>
      <c r="I305" s="206" t="s">
        <v>313</v>
      </c>
      <c r="J305" s="199" t="s">
        <v>98</v>
      </c>
      <c r="K305" s="203">
        <f t="shared" si="24"/>
        <v>1</v>
      </c>
      <c r="L305" s="71">
        <f>0.99</f>
        <v>0.99</v>
      </c>
      <c r="M305" s="72">
        <f>0.99</f>
        <v>0.99</v>
      </c>
      <c r="N305" s="65"/>
      <c r="O305" s="65"/>
      <c r="P305" s="65"/>
      <c r="Q305" s="72">
        <f>0.92</f>
        <v>0.92</v>
      </c>
      <c r="R305" s="65"/>
      <c r="S305" s="65"/>
      <c r="T305" s="65"/>
      <c r="U305" s="65"/>
      <c r="V305" s="72">
        <f>0.83</f>
        <v>0.83</v>
      </c>
      <c r="W305" s="65"/>
      <c r="X305" s="65"/>
      <c r="Y305" s="65"/>
      <c r="Z305" s="65"/>
      <c r="AA305" s="72">
        <f>0.73</f>
        <v>0.73</v>
      </c>
      <c r="AB305" s="65"/>
      <c r="AC305" s="65"/>
      <c r="AD305" s="65"/>
      <c r="AE305" s="65"/>
      <c r="AF305" s="72">
        <f>0.66</f>
        <v>0.66</v>
      </c>
      <c r="AG305" s="65"/>
      <c r="AH305" s="65"/>
      <c r="AI305" s="65"/>
      <c r="AJ305" s="65"/>
      <c r="AK305" s="65"/>
      <c r="AL305" s="65"/>
      <c r="AM305" s="26"/>
      <c r="AN305" s="26"/>
      <c r="AO305" s="213"/>
      <c r="AP305" s="72">
        <f>0.5</f>
        <v>0.5</v>
      </c>
      <c r="AQ305" s="213"/>
      <c r="AR305" s="213"/>
      <c r="AS305" s="213"/>
      <c r="AT305" s="213"/>
      <c r="AU305" s="213"/>
      <c r="AV305" s="213"/>
      <c r="AW305" s="213"/>
      <c r="AX305" s="213"/>
      <c r="AY305" s="213"/>
      <c r="AZ305" s="74">
        <f>0.38</f>
        <v>0.38</v>
      </c>
    </row>
    <row r="306" spans="1:52" ht="13" customHeight="1">
      <c r="A306" s="24" t="s">
        <v>309</v>
      </c>
      <c r="B306" s="24" t="s">
        <v>310</v>
      </c>
      <c r="C306" s="73"/>
      <c r="D306" s="39" t="s">
        <v>311</v>
      </c>
      <c r="E306" s="25" t="s">
        <v>257</v>
      </c>
      <c r="F306" s="25" t="s">
        <v>264</v>
      </c>
      <c r="G306" s="25" t="s">
        <v>259</v>
      </c>
      <c r="H306" s="38"/>
      <c r="I306" s="198" t="s">
        <v>314</v>
      </c>
      <c r="J306" s="199" t="s">
        <v>98</v>
      </c>
      <c r="K306" s="203">
        <f t="shared" si="24"/>
        <v>1</v>
      </c>
      <c r="L306" s="71">
        <f>227/232.3</f>
        <v>0.977184674989238</v>
      </c>
      <c r="M306" s="72">
        <f>1.03</f>
        <v>1.03</v>
      </c>
      <c r="N306" s="72">
        <f t="shared" ref="N306:AF307" si="25">1.03</f>
        <v>1.03</v>
      </c>
      <c r="O306" s="72">
        <f t="shared" si="25"/>
        <v>1.03</v>
      </c>
      <c r="P306" s="72">
        <f t="shared" si="25"/>
        <v>1.03</v>
      </c>
      <c r="Q306" s="72">
        <f t="shared" si="25"/>
        <v>1.03</v>
      </c>
      <c r="R306" s="72">
        <f t="shared" si="25"/>
        <v>1.03</v>
      </c>
      <c r="S306" s="72">
        <f t="shared" si="25"/>
        <v>1.03</v>
      </c>
      <c r="T306" s="72">
        <f t="shared" si="25"/>
        <v>1.03</v>
      </c>
      <c r="U306" s="72">
        <f t="shared" si="25"/>
        <v>1.03</v>
      </c>
      <c r="V306" s="72">
        <f t="shared" si="25"/>
        <v>1.03</v>
      </c>
      <c r="W306" s="72">
        <f t="shared" si="25"/>
        <v>1.03</v>
      </c>
      <c r="X306" s="72">
        <f t="shared" si="25"/>
        <v>1.03</v>
      </c>
      <c r="Y306" s="72">
        <f t="shared" si="25"/>
        <v>1.03</v>
      </c>
      <c r="Z306" s="72">
        <f t="shared" si="25"/>
        <v>1.03</v>
      </c>
      <c r="AA306" s="72">
        <f t="shared" si="25"/>
        <v>1.03</v>
      </c>
      <c r="AB306" s="72">
        <f t="shared" si="25"/>
        <v>1.03</v>
      </c>
      <c r="AC306" s="72">
        <f t="shared" si="25"/>
        <v>1.03</v>
      </c>
      <c r="AD306" s="72">
        <f t="shared" si="25"/>
        <v>1.03</v>
      </c>
      <c r="AE306" s="72">
        <f t="shared" si="25"/>
        <v>1.03</v>
      </c>
      <c r="AF306" s="72">
        <f t="shared" si="25"/>
        <v>1.03</v>
      </c>
      <c r="AG306" s="72">
        <f>1.04</f>
        <v>1.04</v>
      </c>
      <c r="AH306" s="72">
        <f t="shared" ref="AH306:AW309" si="26">1.04</f>
        <v>1.04</v>
      </c>
      <c r="AI306" s="72">
        <f t="shared" si="26"/>
        <v>1.04</v>
      </c>
      <c r="AJ306" s="72">
        <f t="shared" si="26"/>
        <v>1.04</v>
      </c>
      <c r="AK306" s="72">
        <f t="shared" si="26"/>
        <v>1.04</v>
      </c>
      <c r="AL306" s="72">
        <f t="shared" si="26"/>
        <v>1.04</v>
      </c>
      <c r="AM306" s="72">
        <f t="shared" si="26"/>
        <v>1.04</v>
      </c>
      <c r="AN306" s="72">
        <f t="shared" si="26"/>
        <v>1.04</v>
      </c>
      <c r="AO306" s="72">
        <f t="shared" si="26"/>
        <v>1.04</v>
      </c>
      <c r="AP306" s="72">
        <f t="shared" si="26"/>
        <v>1.04</v>
      </c>
      <c r="AQ306" s="72">
        <f>1.03</f>
        <v>1.03</v>
      </c>
      <c r="AR306" s="72">
        <f t="shared" ref="AR306:AZ307" si="27">1.03</f>
        <v>1.03</v>
      </c>
      <c r="AS306" s="72">
        <f t="shared" si="27"/>
        <v>1.03</v>
      </c>
      <c r="AT306" s="72">
        <f t="shared" si="27"/>
        <v>1.03</v>
      </c>
      <c r="AU306" s="72">
        <f t="shared" si="27"/>
        <v>1.03</v>
      </c>
      <c r="AV306" s="72">
        <f t="shared" si="27"/>
        <v>1.03</v>
      </c>
      <c r="AW306" s="72">
        <f t="shared" si="27"/>
        <v>1.03</v>
      </c>
      <c r="AX306" s="72">
        <f t="shared" si="27"/>
        <v>1.03</v>
      </c>
      <c r="AY306" s="72">
        <f t="shared" si="27"/>
        <v>1.03</v>
      </c>
      <c r="AZ306" s="74">
        <f t="shared" si="27"/>
        <v>1.03</v>
      </c>
    </row>
    <row r="307" spans="1:52" ht="13" customHeight="1">
      <c r="A307" s="24" t="s">
        <v>309</v>
      </c>
      <c r="B307" s="24" t="s">
        <v>310</v>
      </c>
      <c r="C307" s="73"/>
      <c r="D307" s="39" t="s">
        <v>311</v>
      </c>
      <c r="E307" s="25" t="s">
        <v>312</v>
      </c>
      <c r="F307" s="25" t="s">
        <v>264</v>
      </c>
      <c r="G307" s="25" t="s">
        <v>265</v>
      </c>
      <c r="H307" s="38"/>
      <c r="I307" s="198" t="s">
        <v>314</v>
      </c>
      <c r="J307" s="199" t="s">
        <v>98</v>
      </c>
      <c r="K307" s="203">
        <f t="shared" si="24"/>
        <v>1</v>
      </c>
      <c r="L307" s="71">
        <f>227/232.3</f>
        <v>0.977184674989238</v>
      </c>
      <c r="M307" s="72">
        <f>1.03</f>
        <v>1.03</v>
      </c>
      <c r="N307" s="72">
        <f t="shared" si="25"/>
        <v>1.03</v>
      </c>
      <c r="O307" s="72">
        <f t="shared" si="25"/>
        <v>1.03</v>
      </c>
      <c r="P307" s="72">
        <f t="shared" si="25"/>
        <v>1.03</v>
      </c>
      <c r="Q307" s="72">
        <f t="shared" si="25"/>
        <v>1.03</v>
      </c>
      <c r="R307" s="72">
        <f t="shared" si="25"/>
        <v>1.03</v>
      </c>
      <c r="S307" s="72">
        <f t="shared" si="25"/>
        <v>1.03</v>
      </c>
      <c r="T307" s="72">
        <f t="shared" si="25"/>
        <v>1.03</v>
      </c>
      <c r="U307" s="72">
        <f t="shared" si="25"/>
        <v>1.03</v>
      </c>
      <c r="V307" s="72">
        <f t="shared" si="25"/>
        <v>1.03</v>
      </c>
      <c r="W307" s="72">
        <f t="shared" si="25"/>
        <v>1.03</v>
      </c>
      <c r="X307" s="72">
        <f t="shared" si="25"/>
        <v>1.03</v>
      </c>
      <c r="Y307" s="72">
        <f t="shared" si="25"/>
        <v>1.03</v>
      </c>
      <c r="Z307" s="72">
        <f t="shared" si="25"/>
        <v>1.03</v>
      </c>
      <c r="AA307" s="72">
        <f t="shared" si="25"/>
        <v>1.03</v>
      </c>
      <c r="AB307" s="72">
        <f t="shared" si="25"/>
        <v>1.03</v>
      </c>
      <c r="AC307" s="72">
        <f t="shared" si="25"/>
        <v>1.03</v>
      </c>
      <c r="AD307" s="72">
        <f t="shared" si="25"/>
        <v>1.03</v>
      </c>
      <c r="AE307" s="72">
        <f t="shared" si="25"/>
        <v>1.03</v>
      </c>
      <c r="AF307" s="72">
        <f t="shared" si="25"/>
        <v>1.03</v>
      </c>
      <c r="AG307" s="72">
        <f>1.04</f>
        <v>1.04</v>
      </c>
      <c r="AH307" s="72">
        <f t="shared" si="26"/>
        <v>1.04</v>
      </c>
      <c r="AI307" s="72">
        <f t="shared" si="26"/>
        <v>1.04</v>
      </c>
      <c r="AJ307" s="72">
        <f t="shared" si="26"/>
        <v>1.04</v>
      </c>
      <c r="AK307" s="72">
        <f t="shared" si="26"/>
        <v>1.04</v>
      </c>
      <c r="AL307" s="72">
        <f t="shared" si="26"/>
        <v>1.04</v>
      </c>
      <c r="AM307" s="72">
        <f t="shared" si="26"/>
        <v>1.04</v>
      </c>
      <c r="AN307" s="72">
        <f t="shared" si="26"/>
        <v>1.04</v>
      </c>
      <c r="AO307" s="72">
        <f t="shared" si="26"/>
        <v>1.04</v>
      </c>
      <c r="AP307" s="72">
        <f t="shared" si="26"/>
        <v>1.04</v>
      </c>
      <c r="AQ307" s="72">
        <f>1.03</f>
        <v>1.03</v>
      </c>
      <c r="AR307" s="72">
        <f t="shared" si="27"/>
        <v>1.03</v>
      </c>
      <c r="AS307" s="72">
        <f t="shared" si="27"/>
        <v>1.03</v>
      </c>
      <c r="AT307" s="72">
        <f t="shared" si="27"/>
        <v>1.03</v>
      </c>
      <c r="AU307" s="72">
        <f t="shared" si="27"/>
        <v>1.03</v>
      </c>
      <c r="AV307" s="72">
        <f t="shared" si="27"/>
        <v>1.03</v>
      </c>
      <c r="AW307" s="72">
        <f t="shared" si="27"/>
        <v>1.03</v>
      </c>
      <c r="AX307" s="72">
        <f t="shared" si="27"/>
        <v>1.03</v>
      </c>
      <c r="AY307" s="72">
        <f t="shared" si="27"/>
        <v>1.03</v>
      </c>
      <c r="AZ307" s="74">
        <f t="shared" si="27"/>
        <v>1.03</v>
      </c>
    </row>
    <row r="308" spans="1:52" ht="13" customHeight="1">
      <c r="A308" s="24" t="s">
        <v>309</v>
      </c>
      <c r="B308" s="24" t="s">
        <v>310</v>
      </c>
      <c r="C308" s="73"/>
      <c r="D308" s="39" t="s">
        <v>311</v>
      </c>
      <c r="E308" s="25" t="s">
        <v>257</v>
      </c>
      <c r="F308" s="25" t="s">
        <v>264</v>
      </c>
      <c r="G308" s="25" t="s">
        <v>259</v>
      </c>
      <c r="H308" s="38"/>
      <c r="I308" s="208" t="s">
        <v>315</v>
      </c>
      <c r="J308" s="199" t="s">
        <v>98</v>
      </c>
      <c r="K308" s="203">
        <f t="shared" si="24"/>
        <v>1</v>
      </c>
      <c r="L308" s="71">
        <f>52.9/52.2</f>
        <v>1.0134099616858201</v>
      </c>
      <c r="M308" s="72">
        <f>1.04</f>
        <v>1.04</v>
      </c>
      <c r="N308" s="72">
        <f t="shared" ref="N308:AG309" si="28">1.04</f>
        <v>1.04</v>
      </c>
      <c r="O308" s="72">
        <f t="shared" si="28"/>
        <v>1.04</v>
      </c>
      <c r="P308" s="72">
        <f t="shared" si="28"/>
        <v>1.04</v>
      </c>
      <c r="Q308" s="72">
        <f t="shared" si="28"/>
        <v>1.04</v>
      </c>
      <c r="R308" s="72">
        <f t="shared" si="28"/>
        <v>1.04</v>
      </c>
      <c r="S308" s="72">
        <f t="shared" si="28"/>
        <v>1.04</v>
      </c>
      <c r="T308" s="72">
        <f t="shared" si="28"/>
        <v>1.04</v>
      </c>
      <c r="U308" s="72">
        <f t="shared" si="28"/>
        <v>1.04</v>
      </c>
      <c r="V308" s="72">
        <f t="shared" si="28"/>
        <v>1.04</v>
      </c>
      <c r="W308" s="72">
        <f t="shared" si="28"/>
        <v>1.04</v>
      </c>
      <c r="X308" s="72">
        <f t="shared" si="28"/>
        <v>1.04</v>
      </c>
      <c r="Y308" s="72">
        <f t="shared" si="28"/>
        <v>1.04</v>
      </c>
      <c r="Z308" s="72">
        <f t="shared" si="28"/>
        <v>1.04</v>
      </c>
      <c r="AA308" s="72">
        <f t="shared" si="28"/>
        <v>1.04</v>
      </c>
      <c r="AB308" s="72">
        <f t="shared" si="28"/>
        <v>1.04</v>
      </c>
      <c r="AC308" s="72">
        <f t="shared" si="28"/>
        <v>1.04</v>
      </c>
      <c r="AD308" s="72">
        <f t="shared" si="28"/>
        <v>1.04</v>
      </c>
      <c r="AE308" s="72">
        <f t="shared" si="28"/>
        <v>1.04</v>
      </c>
      <c r="AF308" s="72">
        <f t="shared" si="28"/>
        <v>1.04</v>
      </c>
      <c r="AG308" s="72">
        <f t="shared" si="28"/>
        <v>1.04</v>
      </c>
      <c r="AH308" s="72">
        <f t="shared" si="26"/>
        <v>1.04</v>
      </c>
      <c r="AI308" s="72">
        <f t="shared" si="26"/>
        <v>1.04</v>
      </c>
      <c r="AJ308" s="72">
        <f t="shared" si="26"/>
        <v>1.04</v>
      </c>
      <c r="AK308" s="72">
        <f t="shared" si="26"/>
        <v>1.04</v>
      </c>
      <c r="AL308" s="72">
        <f t="shared" si="26"/>
        <v>1.04</v>
      </c>
      <c r="AM308" s="72">
        <f t="shared" si="26"/>
        <v>1.04</v>
      </c>
      <c r="AN308" s="72">
        <f t="shared" si="26"/>
        <v>1.04</v>
      </c>
      <c r="AO308" s="72">
        <f t="shared" si="26"/>
        <v>1.04</v>
      </c>
      <c r="AP308" s="72">
        <f t="shared" si="26"/>
        <v>1.04</v>
      </c>
      <c r="AQ308" s="72">
        <f t="shared" si="26"/>
        <v>1.04</v>
      </c>
      <c r="AR308" s="72">
        <f t="shared" si="26"/>
        <v>1.04</v>
      </c>
      <c r="AS308" s="72">
        <f t="shared" si="26"/>
        <v>1.04</v>
      </c>
      <c r="AT308" s="72">
        <f t="shared" si="26"/>
        <v>1.04</v>
      </c>
      <c r="AU308" s="72">
        <f t="shared" si="26"/>
        <v>1.04</v>
      </c>
      <c r="AV308" s="72">
        <f t="shared" si="26"/>
        <v>1.04</v>
      </c>
      <c r="AW308" s="72">
        <f t="shared" si="26"/>
        <v>1.04</v>
      </c>
      <c r="AX308" s="72">
        <f t="shared" ref="AX308:AZ309" si="29">1.04</f>
        <v>1.04</v>
      </c>
      <c r="AY308" s="72">
        <f t="shared" si="29"/>
        <v>1.04</v>
      </c>
      <c r="AZ308" s="74">
        <f t="shared" si="29"/>
        <v>1.04</v>
      </c>
    </row>
    <row r="309" spans="1:52" ht="13" customHeight="1">
      <c r="A309" s="24" t="s">
        <v>309</v>
      </c>
      <c r="B309" s="24" t="s">
        <v>310</v>
      </c>
      <c r="C309" s="73"/>
      <c r="D309" s="39" t="s">
        <v>311</v>
      </c>
      <c r="E309" s="25" t="s">
        <v>312</v>
      </c>
      <c r="F309" s="25" t="s">
        <v>264</v>
      </c>
      <c r="G309" s="25" t="s">
        <v>265</v>
      </c>
      <c r="H309" s="38"/>
      <c r="I309" s="208" t="s">
        <v>315</v>
      </c>
      <c r="J309" s="199" t="s">
        <v>98</v>
      </c>
      <c r="K309" s="203">
        <f t="shared" si="24"/>
        <v>1</v>
      </c>
      <c r="L309" s="71">
        <f>52.9/52.2</f>
        <v>1.0134099616858201</v>
      </c>
      <c r="M309" s="72">
        <f>1.04</f>
        <v>1.04</v>
      </c>
      <c r="N309" s="72">
        <f t="shared" si="28"/>
        <v>1.04</v>
      </c>
      <c r="O309" s="72">
        <f t="shared" si="28"/>
        <v>1.04</v>
      </c>
      <c r="P309" s="72">
        <f t="shared" si="28"/>
        <v>1.04</v>
      </c>
      <c r="Q309" s="72">
        <f t="shared" si="28"/>
        <v>1.04</v>
      </c>
      <c r="R309" s="72">
        <f t="shared" si="28"/>
        <v>1.04</v>
      </c>
      <c r="S309" s="72">
        <f t="shared" si="28"/>
        <v>1.04</v>
      </c>
      <c r="T309" s="72">
        <f t="shared" si="28"/>
        <v>1.04</v>
      </c>
      <c r="U309" s="72">
        <f t="shared" si="28"/>
        <v>1.04</v>
      </c>
      <c r="V309" s="72">
        <f t="shared" si="28"/>
        <v>1.04</v>
      </c>
      <c r="W309" s="72">
        <f t="shared" si="28"/>
        <v>1.04</v>
      </c>
      <c r="X309" s="72">
        <f t="shared" si="28"/>
        <v>1.04</v>
      </c>
      <c r="Y309" s="72">
        <f t="shared" si="28"/>
        <v>1.04</v>
      </c>
      <c r="Z309" s="72">
        <f t="shared" si="28"/>
        <v>1.04</v>
      </c>
      <c r="AA309" s="72">
        <f t="shared" si="28"/>
        <v>1.04</v>
      </c>
      <c r="AB309" s="72">
        <f t="shared" si="28"/>
        <v>1.04</v>
      </c>
      <c r="AC309" s="72">
        <f t="shared" si="28"/>
        <v>1.04</v>
      </c>
      <c r="AD309" s="72">
        <f t="shared" si="28"/>
        <v>1.04</v>
      </c>
      <c r="AE309" s="72">
        <f t="shared" si="28"/>
        <v>1.04</v>
      </c>
      <c r="AF309" s="72">
        <f t="shared" si="28"/>
        <v>1.04</v>
      </c>
      <c r="AG309" s="72">
        <f t="shared" si="28"/>
        <v>1.04</v>
      </c>
      <c r="AH309" s="72">
        <f t="shared" si="26"/>
        <v>1.04</v>
      </c>
      <c r="AI309" s="72">
        <f t="shared" si="26"/>
        <v>1.04</v>
      </c>
      <c r="AJ309" s="72">
        <f t="shared" si="26"/>
        <v>1.04</v>
      </c>
      <c r="AK309" s="72">
        <f t="shared" si="26"/>
        <v>1.04</v>
      </c>
      <c r="AL309" s="72">
        <f t="shared" si="26"/>
        <v>1.04</v>
      </c>
      <c r="AM309" s="72">
        <f t="shared" si="26"/>
        <v>1.04</v>
      </c>
      <c r="AN309" s="72">
        <f t="shared" si="26"/>
        <v>1.04</v>
      </c>
      <c r="AO309" s="72">
        <f t="shared" si="26"/>
        <v>1.04</v>
      </c>
      <c r="AP309" s="72">
        <f t="shared" si="26"/>
        <v>1.04</v>
      </c>
      <c r="AQ309" s="72">
        <f t="shared" si="26"/>
        <v>1.04</v>
      </c>
      <c r="AR309" s="72">
        <f t="shared" si="26"/>
        <v>1.04</v>
      </c>
      <c r="AS309" s="72">
        <f t="shared" si="26"/>
        <v>1.04</v>
      </c>
      <c r="AT309" s="72">
        <f t="shared" si="26"/>
        <v>1.04</v>
      </c>
      <c r="AU309" s="72">
        <f t="shared" si="26"/>
        <v>1.04</v>
      </c>
      <c r="AV309" s="72">
        <f t="shared" si="26"/>
        <v>1.04</v>
      </c>
      <c r="AW309" s="72">
        <f t="shared" si="26"/>
        <v>1.04</v>
      </c>
      <c r="AX309" s="72">
        <f t="shared" si="29"/>
        <v>1.04</v>
      </c>
      <c r="AY309" s="72">
        <f t="shared" si="29"/>
        <v>1.04</v>
      </c>
      <c r="AZ309" s="74">
        <f t="shared" si="29"/>
        <v>1.04</v>
      </c>
    </row>
    <row r="310" spans="1:52" ht="13" customHeight="1">
      <c r="A310" s="24" t="s">
        <v>309</v>
      </c>
      <c r="B310" s="24" t="s">
        <v>310</v>
      </c>
      <c r="C310" s="59"/>
      <c r="D310" s="39" t="s">
        <v>311</v>
      </c>
      <c r="E310" s="25" t="s">
        <v>257</v>
      </c>
      <c r="F310" s="25" t="s">
        <v>264</v>
      </c>
      <c r="G310" s="25" t="s">
        <v>259</v>
      </c>
      <c r="H310" s="38"/>
      <c r="I310" s="210" t="s">
        <v>316</v>
      </c>
      <c r="J310" s="202" t="s">
        <v>267</v>
      </c>
      <c r="K310" s="134">
        <f>1586</f>
        <v>1586</v>
      </c>
      <c r="L310" s="64">
        <f>1503.8</f>
        <v>1503.8</v>
      </c>
      <c r="M310" s="65">
        <f>1650</f>
        <v>1650</v>
      </c>
      <c r="N310" s="65"/>
      <c r="O310" s="65"/>
      <c r="P310" s="65"/>
      <c r="Q310" s="65">
        <f>1635.1</f>
        <v>1635.1</v>
      </c>
      <c r="R310" s="65"/>
      <c r="S310" s="65"/>
      <c r="T310" s="65"/>
      <c r="U310" s="65"/>
      <c r="V310" s="65">
        <f>1717.8</f>
        <v>1717.8</v>
      </c>
      <c r="W310" s="65"/>
      <c r="X310" s="65"/>
      <c r="Y310" s="65"/>
      <c r="Z310" s="65"/>
      <c r="AA310" s="65">
        <f>1789.4</f>
        <v>1789.4</v>
      </c>
      <c r="AB310" s="65"/>
      <c r="AC310" s="65"/>
      <c r="AD310" s="65"/>
      <c r="AE310" s="65"/>
      <c r="AF310" s="65">
        <f>1865.2</f>
        <v>1865.2</v>
      </c>
      <c r="AG310" s="65"/>
      <c r="AH310" s="65"/>
      <c r="AI310" s="65"/>
      <c r="AJ310" s="65"/>
      <c r="AK310" s="65"/>
      <c r="AL310" s="65"/>
      <c r="AM310" s="26"/>
      <c r="AN310" s="26"/>
      <c r="AO310" s="26"/>
      <c r="AP310" s="26">
        <f>1986.3</f>
        <v>1986.3</v>
      </c>
      <c r="AQ310" s="26"/>
      <c r="AR310" s="26"/>
      <c r="AS310" s="26"/>
      <c r="AT310" s="26"/>
      <c r="AU310" s="26"/>
      <c r="AV310" s="26"/>
      <c r="AW310" s="26"/>
      <c r="AX310" s="26"/>
      <c r="AY310" s="26"/>
      <c r="AZ310" s="32">
        <f>2026</f>
        <v>2026</v>
      </c>
    </row>
    <row r="311" spans="1:52" ht="13" customHeight="1">
      <c r="A311" s="24" t="s">
        <v>309</v>
      </c>
      <c r="B311" s="24" t="s">
        <v>310</v>
      </c>
      <c r="C311" s="73"/>
      <c r="D311" s="39" t="s">
        <v>311</v>
      </c>
      <c r="E311" s="76" t="s">
        <v>312</v>
      </c>
      <c r="F311" s="76" t="s">
        <v>264</v>
      </c>
      <c r="G311" s="25" t="s">
        <v>265</v>
      </c>
      <c r="H311" s="38"/>
      <c r="I311" s="210" t="s">
        <v>316</v>
      </c>
      <c r="J311" s="202" t="s">
        <v>267</v>
      </c>
      <c r="K311" s="134">
        <f>1586</f>
        <v>1586</v>
      </c>
      <c r="L311" s="64">
        <f>1503.8</f>
        <v>1503.8</v>
      </c>
      <c r="M311" s="65">
        <f>1650</f>
        <v>1650</v>
      </c>
      <c r="N311" s="65"/>
      <c r="O311" s="65"/>
      <c r="P311" s="65"/>
      <c r="Q311" s="65">
        <f>1628.3</f>
        <v>1628.3</v>
      </c>
      <c r="R311" s="65"/>
      <c r="S311" s="65"/>
      <c r="T311" s="65"/>
      <c r="U311" s="65"/>
      <c r="V311" s="65">
        <f>1673.2</f>
        <v>1673.2</v>
      </c>
      <c r="W311" s="65"/>
      <c r="X311" s="65"/>
      <c r="Y311" s="65"/>
      <c r="Z311" s="65"/>
      <c r="AA311" s="78">
        <f>1493</f>
        <v>1493</v>
      </c>
      <c r="AB311" s="65"/>
      <c r="AC311" s="65"/>
      <c r="AD311" s="65"/>
      <c r="AE311" s="65"/>
      <c r="AF311" s="78">
        <f>1279</f>
        <v>1279</v>
      </c>
      <c r="AG311" s="65"/>
      <c r="AH311" s="65"/>
      <c r="AI311" s="65"/>
      <c r="AJ311" s="65"/>
      <c r="AK311" s="65"/>
      <c r="AL311" s="65"/>
      <c r="AM311" s="26"/>
      <c r="AN311" s="26"/>
      <c r="AO311" s="26"/>
      <c r="AP311" s="26">
        <f>629.9</f>
        <v>629.9</v>
      </c>
      <c r="AQ311" s="26"/>
      <c r="AR311" s="26"/>
      <c r="AS311" s="26"/>
      <c r="AT311" s="26"/>
      <c r="AU311" s="26"/>
      <c r="AV311" s="26"/>
      <c r="AW311" s="26"/>
      <c r="AX311" s="26"/>
      <c r="AY311" s="26"/>
      <c r="AZ311" s="32">
        <f>-0.1</f>
        <v>-0.1</v>
      </c>
    </row>
    <row r="312" spans="1:52" ht="13" customHeight="1">
      <c r="A312" s="24" t="s">
        <v>309</v>
      </c>
      <c r="B312" s="24" t="s">
        <v>310</v>
      </c>
      <c r="C312" s="73"/>
      <c r="D312" s="39" t="s">
        <v>311</v>
      </c>
      <c r="E312" s="25" t="s">
        <v>257</v>
      </c>
      <c r="F312" s="25" t="s">
        <v>264</v>
      </c>
      <c r="G312" s="25" t="s">
        <v>259</v>
      </c>
      <c r="H312" s="38"/>
      <c r="I312" s="214" t="s">
        <v>317</v>
      </c>
      <c r="J312" s="202" t="s">
        <v>267</v>
      </c>
      <c r="K312" s="134">
        <f>393</f>
        <v>393</v>
      </c>
      <c r="L312" s="64">
        <f>387.8</f>
        <v>387.8</v>
      </c>
      <c r="M312" s="65">
        <f>413.1</f>
        <v>413.1</v>
      </c>
      <c r="N312" s="65"/>
      <c r="O312" s="65"/>
      <c r="P312" s="65"/>
      <c r="Q312" s="65">
        <f>408.9</f>
        <v>408.9</v>
      </c>
      <c r="R312" s="65"/>
      <c r="S312" s="65"/>
      <c r="T312" s="65"/>
      <c r="U312" s="65"/>
      <c r="V312" s="65">
        <f>439.1</f>
        <v>439.1</v>
      </c>
      <c r="W312" s="65"/>
      <c r="X312" s="65"/>
      <c r="Y312" s="65"/>
      <c r="Z312" s="65"/>
      <c r="AA312" s="65">
        <f>477.3</f>
        <v>477.3</v>
      </c>
      <c r="AB312" s="65"/>
      <c r="AC312" s="65"/>
      <c r="AD312" s="65"/>
      <c r="AE312" s="65"/>
      <c r="AF312" s="78">
        <f>505</f>
        <v>505</v>
      </c>
      <c r="AG312" s="65"/>
      <c r="AH312" s="65"/>
      <c r="AI312" s="65"/>
      <c r="AJ312" s="65"/>
      <c r="AK312" s="65"/>
      <c r="AL312" s="65"/>
      <c r="AM312" s="26"/>
      <c r="AN312" s="26"/>
      <c r="AO312" s="26"/>
      <c r="AP312" s="26">
        <f>539.7</f>
        <v>539.70000000000005</v>
      </c>
      <c r="AQ312" s="26"/>
      <c r="AR312" s="26"/>
      <c r="AS312" s="26"/>
      <c r="AT312" s="26"/>
      <c r="AU312" s="26"/>
      <c r="AV312" s="26"/>
      <c r="AW312" s="26"/>
      <c r="AX312" s="26"/>
      <c r="AY312" s="26"/>
      <c r="AZ312" s="32">
        <f>547.6</f>
        <v>547.6</v>
      </c>
    </row>
    <row r="313" spans="1:52" ht="13" customHeight="1">
      <c r="A313" s="24" t="s">
        <v>309</v>
      </c>
      <c r="B313" s="24" t="s">
        <v>310</v>
      </c>
      <c r="C313" s="73"/>
      <c r="D313" s="39" t="s">
        <v>311</v>
      </c>
      <c r="E313" s="25" t="s">
        <v>312</v>
      </c>
      <c r="F313" s="25" t="s">
        <v>264</v>
      </c>
      <c r="G313" s="25" t="s">
        <v>265</v>
      </c>
      <c r="H313" s="38"/>
      <c r="I313" s="214" t="s">
        <v>317</v>
      </c>
      <c r="J313" s="202" t="s">
        <v>267</v>
      </c>
      <c r="K313" s="134">
        <f>393</f>
        <v>393</v>
      </c>
      <c r="L313" s="64">
        <f>387.8</f>
        <v>387.8</v>
      </c>
      <c r="M313" s="65">
        <f>413.1</f>
        <v>413.1</v>
      </c>
      <c r="N313" s="65"/>
      <c r="O313" s="65"/>
      <c r="P313" s="65"/>
      <c r="Q313" s="65">
        <f>408.9</f>
        <v>408.9</v>
      </c>
      <c r="R313" s="65"/>
      <c r="S313" s="65"/>
      <c r="T313" s="65"/>
      <c r="U313" s="65"/>
      <c r="V313" s="65">
        <f>435.5</f>
        <v>435.5</v>
      </c>
      <c r="W313" s="65"/>
      <c r="X313" s="65"/>
      <c r="Y313" s="65"/>
      <c r="Z313" s="65"/>
      <c r="AA313" s="65">
        <f>438.7</f>
        <v>438.7</v>
      </c>
      <c r="AB313" s="65"/>
      <c r="AC313" s="65"/>
      <c r="AD313" s="65"/>
      <c r="AE313" s="65"/>
      <c r="AF313" s="65">
        <f>426.8</f>
        <v>426.8</v>
      </c>
      <c r="AG313" s="65"/>
      <c r="AH313" s="65"/>
      <c r="AI313" s="65"/>
      <c r="AJ313" s="65"/>
      <c r="AK313" s="65"/>
      <c r="AL313" s="65"/>
      <c r="AM313" s="26"/>
      <c r="AN313" s="26"/>
      <c r="AO313" s="26"/>
      <c r="AP313" s="26">
        <f>392.2</f>
        <v>392.2</v>
      </c>
      <c r="AQ313" s="26"/>
      <c r="AR313" s="26"/>
      <c r="AS313" s="26"/>
      <c r="AT313" s="26"/>
      <c r="AU313" s="26"/>
      <c r="AV313" s="26"/>
      <c r="AW313" s="26"/>
      <c r="AX313" s="26"/>
      <c r="AY313" s="26"/>
      <c r="AZ313" s="32">
        <f>342.5</f>
        <v>342.5</v>
      </c>
    </row>
    <row r="314" spans="1:52" ht="13" customHeight="1">
      <c r="A314" s="24" t="s">
        <v>309</v>
      </c>
      <c r="B314" s="24" t="s">
        <v>310</v>
      </c>
      <c r="C314" s="73"/>
      <c r="D314" s="39" t="s">
        <v>311</v>
      </c>
      <c r="E314" s="25" t="s">
        <v>257</v>
      </c>
      <c r="F314" s="25" t="s">
        <v>264</v>
      </c>
      <c r="G314" s="25" t="s">
        <v>259</v>
      </c>
      <c r="H314" s="38"/>
      <c r="I314" s="177" t="s">
        <v>318</v>
      </c>
      <c r="J314" s="202" t="s">
        <v>319</v>
      </c>
      <c r="K314" s="134">
        <f>396</f>
        <v>396</v>
      </c>
      <c r="L314" s="64">
        <f>391</f>
        <v>391</v>
      </c>
      <c r="M314" s="65">
        <f>407</f>
        <v>407</v>
      </c>
      <c r="N314" s="65"/>
      <c r="O314" s="65"/>
      <c r="P314" s="65"/>
      <c r="Q314" s="65">
        <f>418</f>
        <v>418</v>
      </c>
      <c r="R314" s="65"/>
      <c r="S314" s="65"/>
      <c r="T314" s="65"/>
      <c r="U314" s="65"/>
      <c r="V314" s="65">
        <f>468</f>
        <v>468</v>
      </c>
      <c r="W314" s="65"/>
      <c r="X314" s="65"/>
      <c r="Y314" s="65"/>
      <c r="Z314" s="65"/>
      <c r="AA314" s="65">
        <f>524</f>
        <v>524</v>
      </c>
      <c r="AB314" s="65"/>
      <c r="AC314" s="65"/>
      <c r="AD314" s="65"/>
      <c r="AE314" s="65"/>
      <c r="AF314" s="65">
        <f>576</f>
        <v>576</v>
      </c>
      <c r="AG314" s="65"/>
      <c r="AH314" s="65"/>
      <c r="AI314" s="65"/>
      <c r="AJ314" s="65"/>
      <c r="AK314" s="65"/>
      <c r="AL314" s="65"/>
      <c r="AM314" s="26"/>
      <c r="AN314" s="26"/>
      <c r="AO314" s="26"/>
      <c r="AP314" s="26">
        <f>678</f>
        <v>678</v>
      </c>
      <c r="AQ314" s="26"/>
      <c r="AR314" s="26"/>
      <c r="AS314" s="26"/>
      <c r="AT314" s="26"/>
      <c r="AU314" s="26"/>
      <c r="AV314" s="26"/>
      <c r="AW314" s="26"/>
      <c r="AX314" s="26"/>
      <c r="AY314" s="26"/>
      <c r="AZ314" s="32">
        <f>748</f>
        <v>748</v>
      </c>
    </row>
    <row r="315" spans="1:52" ht="13" customHeight="1">
      <c r="A315" s="24" t="s">
        <v>309</v>
      </c>
      <c r="B315" s="24" t="s">
        <v>310</v>
      </c>
      <c r="C315" s="73"/>
      <c r="D315" s="39" t="s">
        <v>311</v>
      </c>
      <c r="E315" s="25" t="s">
        <v>312</v>
      </c>
      <c r="F315" s="25" t="s">
        <v>264</v>
      </c>
      <c r="G315" s="25" t="s">
        <v>265</v>
      </c>
      <c r="H315" s="38"/>
      <c r="I315" s="177" t="s">
        <v>318</v>
      </c>
      <c r="J315" s="202" t="s">
        <v>319</v>
      </c>
      <c r="K315" s="134">
        <f>396</f>
        <v>396</v>
      </c>
      <c r="L315" s="64">
        <f>391</f>
        <v>391</v>
      </c>
      <c r="M315" s="65">
        <f>407</f>
        <v>407</v>
      </c>
      <c r="N315" s="65"/>
      <c r="O315" s="65"/>
      <c r="P315" s="65"/>
      <c r="Q315" s="65">
        <f>418</f>
        <v>418</v>
      </c>
      <c r="R315" s="65"/>
      <c r="S315" s="65"/>
      <c r="T315" s="65"/>
      <c r="U315" s="65"/>
      <c r="V315" s="65">
        <f>469</f>
        <v>469</v>
      </c>
      <c r="W315" s="65"/>
      <c r="X315" s="65"/>
      <c r="Y315" s="65"/>
      <c r="Z315" s="65"/>
      <c r="AA315" s="65">
        <f>529</f>
        <v>529</v>
      </c>
      <c r="AB315" s="65"/>
      <c r="AC315" s="65"/>
      <c r="AD315" s="65"/>
      <c r="AE315" s="65"/>
      <c r="AF315" s="65">
        <f>585</f>
        <v>585</v>
      </c>
      <c r="AG315" s="65"/>
      <c r="AH315" s="65"/>
      <c r="AI315" s="65"/>
      <c r="AJ315" s="65"/>
      <c r="AK315" s="65"/>
      <c r="AL315" s="65"/>
      <c r="AM315" s="26"/>
      <c r="AN315" s="26"/>
      <c r="AO315" s="26"/>
      <c r="AP315" s="26">
        <f>695</f>
        <v>695</v>
      </c>
      <c r="AQ315" s="26"/>
      <c r="AR315" s="26"/>
      <c r="AS315" s="26"/>
      <c r="AT315" s="26"/>
      <c r="AU315" s="26"/>
      <c r="AV315" s="26"/>
      <c r="AW315" s="26"/>
      <c r="AX315" s="26"/>
      <c r="AY315" s="26"/>
      <c r="AZ315" s="32">
        <f>768</f>
        <v>768</v>
      </c>
    </row>
    <row r="316" spans="1:52" ht="13" customHeight="1">
      <c r="A316" s="24" t="s">
        <v>309</v>
      </c>
      <c r="B316" s="24" t="s">
        <v>310</v>
      </c>
      <c r="C316" s="73"/>
      <c r="D316" s="39" t="s">
        <v>311</v>
      </c>
      <c r="E316" s="25" t="s">
        <v>257</v>
      </c>
      <c r="F316" s="25" t="s">
        <v>264</v>
      </c>
      <c r="G316" s="25" t="s">
        <v>259</v>
      </c>
      <c r="H316" s="38"/>
      <c r="I316" s="177" t="s">
        <v>320</v>
      </c>
      <c r="J316" s="202" t="s">
        <v>321</v>
      </c>
      <c r="K316" s="134">
        <f>53.7</f>
        <v>53.7</v>
      </c>
      <c r="L316" s="64">
        <f>51.5</f>
        <v>51.5</v>
      </c>
      <c r="M316" s="65">
        <f>54.2</f>
        <v>54.2</v>
      </c>
      <c r="N316" s="65"/>
      <c r="O316" s="65"/>
      <c r="P316" s="65"/>
      <c r="Q316" s="65">
        <f>49.2</f>
        <v>49.2</v>
      </c>
      <c r="R316" s="65"/>
      <c r="S316" s="65"/>
      <c r="T316" s="65"/>
      <c r="U316" s="65"/>
      <c r="V316" s="65">
        <f>52.6</f>
        <v>52.6</v>
      </c>
      <c r="W316" s="65"/>
      <c r="X316" s="65"/>
      <c r="Y316" s="65"/>
      <c r="Z316" s="65"/>
      <c r="AA316" s="65">
        <f>56.9</f>
        <v>56.9</v>
      </c>
      <c r="AB316" s="65"/>
      <c r="AC316" s="65"/>
      <c r="AD316" s="65"/>
      <c r="AE316" s="65"/>
      <c r="AF316" s="65">
        <f>60.3</f>
        <v>60.3</v>
      </c>
      <c r="AG316" s="65"/>
      <c r="AH316" s="65"/>
      <c r="AI316" s="65"/>
      <c r="AJ316" s="65"/>
      <c r="AK316" s="65"/>
      <c r="AL316" s="65"/>
      <c r="AM316" s="26"/>
      <c r="AN316" s="26"/>
      <c r="AO316" s="26"/>
      <c r="AP316" s="26">
        <f>65</f>
        <v>65</v>
      </c>
      <c r="AQ316" s="26"/>
      <c r="AR316" s="26"/>
      <c r="AS316" s="26"/>
      <c r="AT316" s="26"/>
      <c r="AU316" s="26"/>
      <c r="AV316" s="26"/>
      <c r="AW316" s="26"/>
      <c r="AX316" s="26"/>
      <c r="AY316" s="26"/>
      <c r="AZ316" s="32">
        <f>68.3</f>
        <v>68.3</v>
      </c>
    </row>
    <row r="317" spans="1:52" ht="13" customHeight="1">
      <c r="A317" s="24" t="s">
        <v>309</v>
      </c>
      <c r="B317" s="24" t="s">
        <v>310</v>
      </c>
      <c r="C317" s="73"/>
      <c r="D317" s="39" t="s">
        <v>311</v>
      </c>
      <c r="E317" s="25" t="s">
        <v>312</v>
      </c>
      <c r="F317" s="25" t="s">
        <v>264</v>
      </c>
      <c r="G317" s="25" t="s">
        <v>265</v>
      </c>
      <c r="H317" s="38"/>
      <c r="I317" s="177" t="s">
        <v>320</v>
      </c>
      <c r="J317" s="202" t="s">
        <v>321</v>
      </c>
      <c r="K317" s="134">
        <f>53.7</f>
        <v>53.7</v>
      </c>
      <c r="L317" s="64">
        <f>51.5</f>
        <v>51.5</v>
      </c>
      <c r="M317" s="65">
        <f>54.2</f>
        <v>54.2</v>
      </c>
      <c r="N317" s="65"/>
      <c r="O317" s="65"/>
      <c r="P317" s="65"/>
      <c r="Q317" s="65">
        <f>49.2</f>
        <v>49.2</v>
      </c>
      <c r="R317" s="65"/>
      <c r="S317" s="65"/>
      <c r="T317" s="65"/>
      <c r="U317" s="65"/>
      <c r="V317" s="65">
        <f>52.2</f>
        <v>52.2</v>
      </c>
      <c r="W317" s="65"/>
      <c r="X317" s="65"/>
      <c r="Y317" s="65"/>
      <c r="Z317" s="65"/>
      <c r="AA317" s="65">
        <f>56</f>
        <v>56</v>
      </c>
      <c r="AB317" s="65"/>
      <c r="AC317" s="65"/>
      <c r="AD317" s="65"/>
      <c r="AE317" s="65"/>
      <c r="AF317" s="65">
        <f>58.8</f>
        <v>58.8</v>
      </c>
      <c r="AG317" s="65"/>
      <c r="AH317" s="65"/>
      <c r="AI317" s="65"/>
      <c r="AJ317" s="65"/>
      <c r="AK317" s="65"/>
      <c r="AL317" s="65"/>
      <c r="AM317" s="26"/>
      <c r="AN317" s="26"/>
      <c r="AO317" s="26"/>
      <c r="AP317" s="26">
        <f>62.2</f>
        <v>62.2</v>
      </c>
      <c r="AQ317" s="26"/>
      <c r="AR317" s="26"/>
      <c r="AS317" s="26"/>
      <c r="AT317" s="26"/>
      <c r="AU317" s="26"/>
      <c r="AV317" s="26"/>
      <c r="AW317" s="26"/>
      <c r="AX317" s="26"/>
      <c r="AY317" s="26"/>
      <c r="AZ317" s="32">
        <f>64.4</f>
        <v>64.400000000000006</v>
      </c>
    </row>
    <row r="318" spans="1:52" ht="13" customHeight="1">
      <c r="A318" s="24" t="s">
        <v>309</v>
      </c>
      <c r="B318" s="24" t="s">
        <v>310</v>
      </c>
      <c r="C318" s="73"/>
      <c r="D318" s="39" t="s">
        <v>311</v>
      </c>
      <c r="E318" s="25" t="s">
        <v>257</v>
      </c>
      <c r="F318" s="25" t="s">
        <v>264</v>
      </c>
      <c r="G318" s="25" t="s">
        <v>259</v>
      </c>
      <c r="H318" s="38"/>
      <c r="I318" s="177" t="s">
        <v>322</v>
      </c>
      <c r="J318" s="202" t="s">
        <v>321</v>
      </c>
      <c r="K318" s="134">
        <f>41.1</f>
        <v>41.1</v>
      </c>
      <c r="L318" s="64">
        <f>42.3</f>
        <v>42.3</v>
      </c>
      <c r="M318" s="65">
        <f>45.8</f>
        <v>45.8</v>
      </c>
      <c r="N318" s="65"/>
      <c r="O318" s="65"/>
      <c r="P318" s="65"/>
      <c r="Q318" s="65">
        <f>47.5</f>
        <v>47.5</v>
      </c>
      <c r="R318" s="65"/>
      <c r="S318" s="65"/>
      <c r="T318" s="65"/>
      <c r="U318" s="65"/>
      <c r="V318" s="65">
        <f>49.2</f>
        <v>49.2</v>
      </c>
      <c r="W318" s="65"/>
      <c r="X318" s="65"/>
      <c r="Y318" s="65"/>
      <c r="Z318" s="65"/>
      <c r="AA318" s="65">
        <f>51.6</f>
        <v>51.6</v>
      </c>
      <c r="AB318" s="65"/>
      <c r="AC318" s="65"/>
      <c r="AD318" s="65"/>
      <c r="AE318" s="65"/>
      <c r="AF318" s="65">
        <f>53.6</f>
        <v>53.6</v>
      </c>
      <c r="AG318" s="65"/>
      <c r="AH318" s="65"/>
      <c r="AI318" s="65"/>
      <c r="AJ318" s="65"/>
      <c r="AK318" s="65"/>
      <c r="AL318" s="65"/>
      <c r="AM318" s="26"/>
      <c r="AN318" s="26"/>
      <c r="AO318" s="26"/>
      <c r="AP318" s="26">
        <f>56.9</f>
        <v>56.9</v>
      </c>
      <c r="AQ318" s="26"/>
      <c r="AR318" s="26"/>
      <c r="AS318" s="26"/>
      <c r="AT318" s="26"/>
      <c r="AU318" s="26"/>
      <c r="AV318" s="26"/>
      <c r="AW318" s="26"/>
      <c r="AX318" s="26"/>
      <c r="AY318" s="26"/>
      <c r="AZ318" s="32">
        <f>57.6</f>
        <v>57.6</v>
      </c>
    </row>
    <row r="319" spans="1:52" ht="13" customHeight="1">
      <c r="A319" s="24" t="s">
        <v>309</v>
      </c>
      <c r="B319" s="24" t="s">
        <v>310</v>
      </c>
      <c r="C319" s="73"/>
      <c r="D319" s="39" t="s">
        <v>311</v>
      </c>
      <c r="E319" s="25" t="s">
        <v>312</v>
      </c>
      <c r="F319" s="25" t="s">
        <v>264</v>
      </c>
      <c r="G319" s="25" t="s">
        <v>265</v>
      </c>
      <c r="H319" s="38"/>
      <c r="I319" s="177" t="s">
        <v>322</v>
      </c>
      <c r="J319" s="202" t="s">
        <v>321</v>
      </c>
      <c r="K319" s="134">
        <f>41.1</f>
        <v>41.1</v>
      </c>
      <c r="L319" s="64">
        <f>42.3</f>
        <v>42.3</v>
      </c>
      <c r="M319" s="65">
        <f>45.8</f>
        <v>45.8</v>
      </c>
      <c r="N319" s="65"/>
      <c r="O319" s="65"/>
      <c r="P319" s="65"/>
      <c r="Q319" s="65">
        <f>47.5</f>
        <v>47.5</v>
      </c>
      <c r="R319" s="65"/>
      <c r="S319" s="65"/>
      <c r="T319" s="65"/>
      <c r="U319" s="65"/>
      <c r="V319" s="65">
        <f>48.9</f>
        <v>48.9</v>
      </c>
      <c r="W319" s="65"/>
      <c r="X319" s="65"/>
      <c r="Y319" s="65"/>
      <c r="Z319" s="65"/>
      <c r="AA319" s="65">
        <v>50.3</v>
      </c>
      <c r="AB319" s="65"/>
      <c r="AC319" s="65"/>
      <c r="AD319" s="65"/>
      <c r="AE319" s="65"/>
      <c r="AF319" s="65">
        <f>51.2</f>
        <v>51.2</v>
      </c>
      <c r="AG319" s="65"/>
      <c r="AH319" s="65"/>
      <c r="AI319" s="65"/>
      <c r="AJ319" s="65"/>
      <c r="AK319" s="65"/>
      <c r="AL319" s="65"/>
      <c r="AM319" s="26"/>
      <c r="AN319" s="26"/>
      <c r="AO319" s="26"/>
      <c r="AP319" s="26">
        <f>52.1</f>
        <v>52.1</v>
      </c>
      <c r="AQ319" s="26"/>
      <c r="AR319" s="26"/>
      <c r="AS319" s="26"/>
      <c r="AT319" s="26"/>
      <c r="AU319" s="26"/>
      <c r="AV319" s="26"/>
      <c r="AW319" s="26"/>
      <c r="AX319" s="26"/>
      <c r="AY319" s="26"/>
      <c r="AZ319" s="32">
        <f>51.1</f>
        <v>51.1</v>
      </c>
    </row>
    <row r="320" spans="1:52" ht="13" customHeight="1">
      <c r="A320" s="24" t="s">
        <v>309</v>
      </c>
      <c r="B320" s="24" t="s">
        <v>310</v>
      </c>
      <c r="C320" s="73"/>
      <c r="D320" s="39" t="s">
        <v>311</v>
      </c>
      <c r="E320" s="25" t="s">
        <v>257</v>
      </c>
      <c r="F320" s="25" t="s">
        <v>264</v>
      </c>
      <c r="G320" s="25" t="s">
        <v>259</v>
      </c>
      <c r="H320" s="38"/>
      <c r="I320" s="177" t="s">
        <v>323</v>
      </c>
      <c r="J320" s="202" t="s">
        <v>321</v>
      </c>
      <c r="K320" s="134">
        <f>25.4</f>
        <v>25.4</v>
      </c>
      <c r="L320" s="64">
        <f>19.8</f>
        <v>19.8</v>
      </c>
      <c r="M320" s="65">
        <f>20.5</f>
        <v>20.5</v>
      </c>
      <c r="N320" s="65"/>
      <c r="O320" s="65"/>
      <c r="P320" s="65"/>
      <c r="Q320" s="78">
        <f>21</f>
        <v>21</v>
      </c>
      <c r="R320" s="65"/>
      <c r="S320" s="65"/>
      <c r="T320" s="65"/>
      <c r="U320" s="65"/>
      <c r="V320" s="65">
        <v>20.9</v>
      </c>
      <c r="W320" s="65"/>
      <c r="X320" s="65"/>
      <c r="Y320" s="65"/>
      <c r="Z320" s="65"/>
      <c r="AA320" s="65">
        <f>21.8</f>
        <v>21.8</v>
      </c>
      <c r="AB320" s="65"/>
      <c r="AC320" s="65"/>
      <c r="AD320" s="65"/>
      <c r="AE320" s="65"/>
      <c r="AF320" s="65">
        <f>22.2</f>
        <v>22.2</v>
      </c>
      <c r="AG320" s="65"/>
      <c r="AH320" s="65"/>
      <c r="AI320" s="65"/>
      <c r="AJ320" s="65"/>
      <c r="AK320" s="65"/>
      <c r="AL320" s="65"/>
      <c r="AM320" s="26"/>
      <c r="AN320" s="26"/>
      <c r="AO320" s="26"/>
      <c r="AP320" s="26">
        <f>23.2</f>
        <v>23.2</v>
      </c>
      <c r="AQ320" s="26"/>
      <c r="AR320" s="26"/>
      <c r="AS320" s="26"/>
      <c r="AT320" s="26"/>
      <c r="AU320" s="26"/>
      <c r="AV320" s="26"/>
      <c r="AW320" s="26"/>
      <c r="AX320" s="26"/>
      <c r="AY320" s="26"/>
      <c r="AZ320" s="32">
        <f>22.8</f>
        <v>22.8</v>
      </c>
    </row>
    <row r="321" spans="1:52" ht="13" customHeight="1">
      <c r="A321" s="24" t="s">
        <v>309</v>
      </c>
      <c r="B321" s="24" t="s">
        <v>310</v>
      </c>
      <c r="C321" s="73"/>
      <c r="D321" s="39" t="s">
        <v>311</v>
      </c>
      <c r="E321" s="25" t="s">
        <v>312</v>
      </c>
      <c r="F321" s="25" t="s">
        <v>264</v>
      </c>
      <c r="G321" s="25" t="s">
        <v>265</v>
      </c>
      <c r="H321" s="38"/>
      <c r="I321" s="177" t="s">
        <v>323</v>
      </c>
      <c r="J321" s="202" t="s">
        <v>321</v>
      </c>
      <c r="K321" s="134">
        <f>25.4</f>
        <v>25.4</v>
      </c>
      <c r="L321" s="64">
        <f>19.8</f>
        <v>19.8</v>
      </c>
      <c r="M321" s="65">
        <f>20.5</f>
        <v>20.5</v>
      </c>
      <c r="N321" s="65"/>
      <c r="O321" s="65"/>
      <c r="P321" s="65"/>
      <c r="Q321" s="78">
        <f>21</f>
        <v>21</v>
      </c>
      <c r="R321" s="65"/>
      <c r="S321" s="65"/>
      <c r="T321" s="65"/>
      <c r="U321" s="65"/>
      <c r="V321" s="65">
        <f>20.7</f>
        <v>20.7</v>
      </c>
      <c r="W321" s="65"/>
      <c r="X321" s="65"/>
      <c r="Y321" s="65"/>
      <c r="Z321" s="65"/>
      <c r="AA321" s="65">
        <f>20.8</f>
        <v>20.8</v>
      </c>
      <c r="AB321" s="65"/>
      <c r="AC321" s="65"/>
      <c r="AD321" s="65"/>
      <c r="AE321" s="65"/>
      <c r="AF321" s="65">
        <f>20.4</f>
        <v>20.399999999999999</v>
      </c>
      <c r="AG321" s="65"/>
      <c r="AH321" s="65"/>
      <c r="AI321" s="65"/>
      <c r="AJ321" s="65"/>
      <c r="AK321" s="65"/>
      <c r="AL321" s="65"/>
      <c r="AM321" s="26"/>
      <c r="AN321" s="26"/>
      <c r="AO321" s="26"/>
      <c r="AP321" s="26">
        <f>19.8</f>
        <v>19.8</v>
      </c>
      <c r="AQ321" s="26"/>
      <c r="AR321" s="26"/>
      <c r="AS321" s="26"/>
      <c r="AT321" s="26"/>
      <c r="AU321" s="26"/>
      <c r="AV321" s="26"/>
      <c r="AW321" s="26"/>
      <c r="AX321" s="26"/>
      <c r="AY321" s="26"/>
      <c r="AZ321" s="32">
        <f>18.3</f>
        <v>18.3</v>
      </c>
    </row>
    <row r="322" spans="1:52" ht="13" customHeight="1">
      <c r="A322" s="24" t="s">
        <v>309</v>
      </c>
      <c r="B322" s="24" t="s">
        <v>310</v>
      </c>
      <c r="C322" s="73"/>
      <c r="D322" s="39" t="s">
        <v>311</v>
      </c>
      <c r="E322" s="25" t="s">
        <v>257</v>
      </c>
      <c r="F322" s="25" t="s">
        <v>264</v>
      </c>
      <c r="G322" s="25" t="s">
        <v>259</v>
      </c>
      <c r="H322" s="38"/>
      <c r="I322" s="177" t="s">
        <v>324</v>
      </c>
      <c r="J322" s="202" t="s">
        <v>321</v>
      </c>
      <c r="K322" s="134">
        <f>14.4</f>
        <v>14.4</v>
      </c>
      <c r="L322" s="64">
        <f>15.5</f>
        <v>15.5</v>
      </c>
      <c r="M322" s="65">
        <f>17.7</f>
        <v>17.7</v>
      </c>
      <c r="N322" s="65"/>
      <c r="O322" s="65"/>
      <c r="P322" s="65"/>
      <c r="Q322" s="65">
        <f>17.4</f>
        <v>17.399999999999999</v>
      </c>
      <c r="R322" s="65"/>
      <c r="S322" s="65"/>
      <c r="T322" s="65"/>
      <c r="U322" s="65"/>
      <c r="V322" s="65">
        <f>17.7</f>
        <v>17.7</v>
      </c>
      <c r="W322" s="65"/>
      <c r="X322" s="65"/>
      <c r="Y322" s="65"/>
      <c r="Z322" s="65"/>
      <c r="AA322" s="65">
        <f>18.3</f>
        <v>18.3</v>
      </c>
      <c r="AB322" s="65"/>
      <c r="AC322" s="65"/>
      <c r="AD322" s="65"/>
      <c r="AE322" s="65"/>
      <c r="AF322" s="65">
        <f>18.9</f>
        <v>18.899999999999999</v>
      </c>
      <c r="AG322" s="65"/>
      <c r="AH322" s="65"/>
      <c r="AI322" s="65"/>
      <c r="AJ322" s="65"/>
      <c r="AK322" s="65"/>
      <c r="AL322" s="65"/>
      <c r="AM322" s="26"/>
      <c r="AN322" s="26"/>
      <c r="AO322" s="26"/>
      <c r="AP322" s="26">
        <f>20</f>
        <v>20</v>
      </c>
      <c r="AQ322" s="26"/>
      <c r="AR322" s="26"/>
      <c r="AS322" s="26"/>
      <c r="AT322" s="26"/>
      <c r="AU322" s="26"/>
      <c r="AV322" s="26"/>
      <c r="AW322" s="26"/>
      <c r="AX322" s="26"/>
      <c r="AY322" s="26"/>
      <c r="AZ322" s="32">
        <f>19.8</f>
        <v>19.8</v>
      </c>
    </row>
    <row r="323" spans="1:52" ht="13" customHeight="1">
      <c r="A323" s="24" t="s">
        <v>309</v>
      </c>
      <c r="B323" s="24" t="s">
        <v>310</v>
      </c>
      <c r="C323" s="73"/>
      <c r="D323" s="39" t="s">
        <v>311</v>
      </c>
      <c r="E323" s="25" t="s">
        <v>312</v>
      </c>
      <c r="F323" s="25" t="s">
        <v>264</v>
      </c>
      <c r="G323" s="25" t="s">
        <v>265</v>
      </c>
      <c r="H323" s="38"/>
      <c r="I323" s="177" t="s">
        <v>324</v>
      </c>
      <c r="J323" s="202" t="s">
        <v>321</v>
      </c>
      <c r="K323" s="134">
        <f>14.4</f>
        <v>14.4</v>
      </c>
      <c r="L323" s="64">
        <f>15.5</f>
        <v>15.5</v>
      </c>
      <c r="M323" s="65">
        <f>17.7</f>
        <v>17.7</v>
      </c>
      <c r="N323" s="65"/>
      <c r="O323" s="65"/>
      <c r="P323" s="65"/>
      <c r="Q323" s="65">
        <f>17.4</f>
        <v>17.399999999999999</v>
      </c>
      <c r="R323" s="65"/>
      <c r="S323" s="65"/>
      <c r="T323" s="65"/>
      <c r="U323" s="65"/>
      <c r="V323" s="65">
        <f>17.5</f>
        <v>17.5</v>
      </c>
      <c r="W323" s="65"/>
      <c r="X323" s="65"/>
      <c r="Y323" s="65"/>
      <c r="Z323" s="65"/>
      <c r="AA323" s="78">
        <f>17.8</f>
        <v>17.8</v>
      </c>
      <c r="AB323" s="65"/>
      <c r="AC323" s="65"/>
      <c r="AD323" s="65"/>
      <c r="AE323" s="65"/>
      <c r="AF323" s="78">
        <f>18</f>
        <v>18</v>
      </c>
      <c r="AG323" s="65"/>
      <c r="AH323" s="65"/>
      <c r="AI323" s="65"/>
      <c r="AJ323" s="65"/>
      <c r="AK323" s="65"/>
      <c r="AL323" s="65"/>
      <c r="AM323" s="26"/>
      <c r="AN323" s="26"/>
      <c r="AO323" s="26"/>
      <c r="AP323" s="26">
        <f>18.4</f>
        <v>18.399999999999999</v>
      </c>
      <c r="AQ323" s="26"/>
      <c r="AR323" s="26"/>
      <c r="AS323" s="26"/>
      <c r="AT323" s="26"/>
      <c r="AU323" s="26"/>
      <c r="AV323" s="26"/>
      <c r="AW323" s="26"/>
      <c r="AX323" s="26"/>
      <c r="AY323" s="26"/>
      <c r="AZ323" s="32">
        <f>17.8</f>
        <v>17.8</v>
      </c>
    </row>
    <row r="324" spans="1:52" ht="13" customHeight="1">
      <c r="A324" s="24" t="s">
        <v>309</v>
      </c>
      <c r="B324" s="24" t="s">
        <v>310</v>
      </c>
      <c r="C324" s="73"/>
      <c r="D324" s="39" t="s">
        <v>311</v>
      </c>
      <c r="E324" s="25" t="s">
        <v>257</v>
      </c>
      <c r="F324" s="25" t="s">
        <v>264</v>
      </c>
      <c r="G324" s="25" t="s">
        <v>259</v>
      </c>
      <c r="H324" s="38"/>
      <c r="I324" s="177" t="s">
        <v>325</v>
      </c>
      <c r="J324" s="202" t="s">
        <v>319</v>
      </c>
      <c r="K324" s="134">
        <f>144</f>
        <v>144</v>
      </c>
      <c r="L324" s="64">
        <f>145</f>
        <v>145</v>
      </c>
      <c r="M324" s="65">
        <f>151</f>
        <v>151</v>
      </c>
      <c r="N324" s="65"/>
      <c r="O324" s="65"/>
      <c r="P324" s="65"/>
      <c r="Q324" s="65">
        <f>145</f>
        <v>145</v>
      </c>
      <c r="R324" s="65"/>
      <c r="S324" s="65"/>
      <c r="T324" s="65"/>
      <c r="U324" s="65"/>
      <c r="V324" s="65">
        <f>147</f>
        <v>147</v>
      </c>
      <c r="W324" s="65"/>
      <c r="X324" s="65"/>
      <c r="Y324" s="65"/>
      <c r="Z324" s="65"/>
      <c r="AA324" s="78">
        <f>166</f>
        <v>166</v>
      </c>
      <c r="AB324" s="65"/>
      <c r="AC324" s="65"/>
      <c r="AD324" s="65"/>
      <c r="AE324" s="65"/>
      <c r="AF324" s="78">
        <f>174</f>
        <v>174</v>
      </c>
      <c r="AG324" s="65"/>
      <c r="AH324" s="65"/>
      <c r="AI324" s="65"/>
      <c r="AJ324" s="65"/>
      <c r="AK324" s="65"/>
      <c r="AL324" s="65"/>
      <c r="AM324" s="26"/>
      <c r="AN324" s="26"/>
      <c r="AO324" s="26"/>
      <c r="AP324" s="26">
        <f>190</f>
        <v>190</v>
      </c>
      <c r="AQ324" s="26"/>
      <c r="AR324" s="26"/>
      <c r="AS324" s="26"/>
      <c r="AT324" s="26"/>
      <c r="AU324" s="26"/>
      <c r="AV324" s="26"/>
      <c r="AW324" s="26"/>
      <c r="AX324" s="26"/>
      <c r="AY324" s="26"/>
      <c r="AZ324" s="32">
        <f>183</f>
        <v>183</v>
      </c>
    </row>
    <row r="325" spans="1:52" ht="13" customHeight="1">
      <c r="A325" s="24" t="s">
        <v>309</v>
      </c>
      <c r="B325" s="24" t="s">
        <v>310</v>
      </c>
      <c r="C325" s="73"/>
      <c r="D325" s="39" t="s">
        <v>311</v>
      </c>
      <c r="E325" s="25" t="s">
        <v>312</v>
      </c>
      <c r="F325" s="25" t="s">
        <v>264</v>
      </c>
      <c r="G325" s="25" t="s">
        <v>265</v>
      </c>
      <c r="H325" s="38"/>
      <c r="I325" s="177" t="s">
        <v>325</v>
      </c>
      <c r="J325" s="202" t="s">
        <v>319</v>
      </c>
      <c r="K325" s="134">
        <f>144</f>
        <v>144</v>
      </c>
      <c r="L325" s="64">
        <f>145</f>
        <v>145</v>
      </c>
      <c r="M325" s="65">
        <f>151</f>
        <v>151</v>
      </c>
      <c r="N325" s="65"/>
      <c r="O325" s="65"/>
      <c r="P325" s="65"/>
      <c r="Q325" s="65">
        <f>145</f>
        <v>145</v>
      </c>
      <c r="R325" s="65"/>
      <c r="S325" s="65"/>
      <c r="T325" s="65"/>
      <c r="U325" s="65"/>
      <c r="V325" s="65">
        <f>149</f>
        <v>149</v>
      </c>
      <c r="W325" s="65"/>
      <c r="X325" s="65"/>
      <c r="Y325" s="65"/>
      <c r="Z325" s="65"/>
      <c r="AA325" s="78">
        <f>176</f>
        <v>176</v>
      </c>
      <c r="AB325" s="65"/>
      <c r="AC325" s="65"/>
      <c r="AD325" s="65"/>
      <c r="AE325" s="65"/>
      <c r="AF325" s="78">
        <f>194</f>
        <v>194</v>
      </c>
      <c r="AG325" s="65"/>
      <c r="AH325" s="65"/>
      <c r="AI325" s="65"/>
      <c r="AJ325" s="65"/>
      <c r="AK325" s="65"/>
      <c r="AL325" s="65"/>
      <c r="AM325" s="26"/>
      <c r="AN325" s="26"/>
      <c r="AO325" s="26"/>
      <c r="AP325" s="26">
        <f>229</f>
        <v>229</v>
      </c>
      <c r="AQ325" s="26"/>
      <c r="AR325" s="26"/>
      <c r="AS325" s="26"/>
      <c r="AT325" s="26"/>
      <c r="AU325" s="26"/>
      <c r="AV325" s="26"/>
      <c r="AW325" s="26"/>
      <c r="AX325" s="26"/>
      <c r="AY325" s="26"/>
      <c r="AZ325" s="32">
        <f>235</f>
        <v>235</v>
      </c>
    </row>
    <row r="326" spans="1:52" ht="13" customHeight="1">
      <c r="A326" s="24" t="s">
        <v>309</v>
      </c>
      <c r="B326" s="24" t="s">
        <v>310</v>
      </c>
      <c r="C326" s="73"/>
      <c r="D326" s="39" t="s">
        <v>311</v>
      </c>
      <c r="E326" s="25" t="s">
        <v>257</v>
      </c>
      <c r="F326" s="25" t="s">
        <v>264</v>
      </c>
      <c r="G326" s="25" t="s">
        <v>259</v>
      </c>
      <c r="H326" s="38"/>
      <c r="I326" s="177" t="s">
        <v>326</v>
      </c>
      <c r="J326" s="202" t="s">
        <v>321</v>
      </c>
      <c r="K326" s="134">
        <f>11.3</f>
        <v>11.3</v>
      </c>
      <c r="L326" s="64">
        <f>8.5</f>
        <v>8.5</v>
      </c>
      <c r="M326" s="65">
        <f>8.4</f>
        <v>8.4</v>
      </c>
      <c r="N326" s="65"/>
      <c r="O326" s="65"/>
      <c r="P326" s="65"/>
      <c r="Q326" s="65">
        <f>8.4</f>
        <v>8.4</v>
      </c>
      <c r="R326" s="65"/>
      <c r="S326" s="65"/>
      <c r="T326" s="65"/>
      <c r="U326" s="65"/>
      <c r="V326" s="65">
        <f>8.4</f>
        <v>8.4</v>
      </c>
      <c r="W326" s="65"/>
      <c r="X326" s="65"/>
      <c r="Y326" s="65"/>
      <c r="Z326" s="65"/>
      <c r="AA326" s="78">
        <f>8.4</f>
        <v>8.4</v>
      </c>
      <c r="AB326" s="65"/>
      <c r="AC326" s="65"/>
      <c r="AD326" s="65"/>
      <c r="AE326" s="65"/>
      <c r="AF326" s="78">
        <f>8.5</f>
        <v>8.5</v>
      </c>
      <c r="AG326" s="65"/>
      <c r="AH326" s="65"/>
      <c r="AI326" s="65"/>
      <c r="AJ326" s="65"/>
      <c r="AK326" s="65"/>
      <c r="AL326" s="65"/>
      <c r="AM326" s="26"/>
      <c r="AN326" s="26"/>
      <c r="AO326" s="26"/>
      <c r="AP326" s="26">
        <f>8.5</f>
        <v>8.5</v>
      </c>
      <c r="AQ326" s="26"/>
      <c r="AR326" s="26"/>
      <c r="AS326" s="26"/>
      <c r="AT326" s="26"/>
      <c r="AU326" s="26"/>
      <c r="AV326" s="26"/>
      <c r="AW326" s="26"/>
      <c r="AX326" s="26"/>
      <c r="AY326" s="26"/>
      <c r="AZ326" s="32">
        <f>8.4</f>
        <v>8.4</v>
      </c>
    </row>
    <row r="327" spans="1:52" ht="13" customHeight="1">
      <c r="A327" s="24" t="s">
        <v>309</v>
      </c>
      <c r="B327" s="24" t="s">
        <v>310</v>
      </c>
      <c r="C327" s="73"/>
      <c r="D327" s="39" t="s">
        <v>311</v>
      </c>
      <c r="E327" s="25" t="s">
        <v>312</v>
      </c>
      <c r="F327" s="25" t="s">
        <v>264</v>
      </c>
      <c r="G327" s="25" t="s">
        <v>265</v>
      </c>
      <c r="H327" s="38"/>
      <c r="I327" s="177" t="s">
        <v>326</v>
      </c>
      <c r="J327" s="202" t="s">
        <v>321</v>
      </c>
      <c r="K327" s="134">
        <f>11.3</f>
        <v>11.3</v>
      </c>
      <c r="L327" s="64">
        <f>8.5</f>
        <v>8.5</v>
      </c>
      <c r="M327" s="65">
        <f>8.4</f>
        <v>8.4</v>
      </c>
      <c r="N327" s="65"/>
      <c r="O327" s="65"/>
      <c r="P327" s="65"/>
      <c r="Q327" s="65">
        <f>8.4</f>
        <v>8.4</v>
      </c>
      <c r="R327" s="65"/>
      <c r="S327" s="65"/>
      <c r="T327" s="65"/>
      <c r="U327" s="65"/>
      <c r="V327" s="65">
        <f>8.4</f>
        <v>8.4</v>
      </c>
      <c r="W327" s="65"/>
      <c r="X327" s="65"/>
      <c r="Y327" s="65"/>
      <c r="Z327" s="65"/>
      <c r="AA327" s="65">
        <f>8.4</f>
        <v>8.4</v>
      </c>
      <c r="AB327" s="65"/>
      <c r="AC327" s="65"/>
      <c r="AD327" s="65"/>
      <c r="AE327" s="65"/>
      <c r="AF327" s="65">
        <f>8.4</f>
        <v>8.4</v>
      </c>
      <c r="AG327" s="65"/>
      <c r="AH327" s="65"/>
      <c r="AI327" s="65"/>
      <c r="AJ327" s="65"/>
      <c r="AK327" s="65"/>
      <c r="AL327" s="65"/>
      <c r="AM327" s="26"/>
      <c r="AN327" s="26"/>
      <c r="AO327" s="26"/>
      <c r="AP327" s="65">
        <f>8.4</f>
        <v>8.4</v>
      </c>
      <c r="AQ327" s="26"/>
      <c r="AR327" s="26"/>
      <c r="AS327" s="26"/>
      <c r="AT327" s="26"/>
      <c r="AU327" s="26"/>
      <c r="AV327" s="26"/>
      <c r="AW327" s="26"/>
      <c r="AX327" s="26"/>
      <c r="AY327" s="26"/>
      <c r="AZ327" s="81">
        <f>8.3</f>
        <v>8.3000000000000007</v>
      </c>
    </row>
    <row r="328" spans="1:52" ht="13" customHeight="1">
      <c r="A328" s="24" t="s">
        <v>309</v>
      </c>
      <c r="B328" s="24" t="s">
        <v>310</v>
      </c>
      <c r="C328" s="73"/>
      <c r="D328" s="39" t="s">
        <v>311</v>
      </c>
      <c r="E328" s="25" t="s">
        <v>257</v>
      </c>
      <c r="F328" s="25" t="s">
        <v>264</v>
      </c>
      <c r="G328" s="25" t="s">
        <v>259</v>
      </c>
      <c r="H328" s="38"/>
      <c r="I328" s="177" t="s">
        <v>327</v>
      </c>
      <c r="J328" s="202" t="s">
        <v>321</v>
      </c>
      <c r="K328" s="134">
        <f>6.8</f>
        <v>6.8</v>
      </c>
      <c r="L328" s="64">
        <f>6.3</f>
        <v>6.3</v>
      </c>
      <c r="M328" s="65">
        <f>7.5</f>
        <v>7.5</v>
      </c>
      <c r="N328" s="65"/>
      <c r="O328" s="65"/>
      <c r="P328" s="65"/>
      <c r="Q328" s="65">
        <f>7.2</f>
        <v>7.2</v>
      </c>
      <c r="R328" s="65"/>
      <c r="S328" s="65"/>
      <c r="T328" s="65"/>
      <c r="U328" s="65"/>
      <c r="V328" s="65">
        <f>7.2</f>
        <v>7.2</v>
      </c>
      <c r="W328" s="65"/>
      <c r="X328" s="65"/>
      <c r="Y328" s="65"/>
      <c r="Z328" s="65"/>
      <c r="AA328" s="65">
        <f>7.9</f>
        <v>7.9</v>
      </c>
      <c r="AB328" s="65"/>
      <c r="AC328" s="65"/>
      <c r="AD328" s="65"/>
      <c r="AE328" s="65"/>
      <c r="AF328" s="65">
        <f>8.1</f>
        <v>8.1</v>
      </c>
      <c r="AG328" s="65"/>
      <c r="AH328" s="65"/>
      <c r="AI328" s="65"/>
      <c r="AJ328" s="65"/>
      <c r="AK328" s="65"/>
      <c r="AL328" s="65"/>
      <c r="AM328" s="26"/>
      <c r="AN328" s="26"/>
      <c r="AO328" s="26"/>
      <c r="AP328" s="65">
        <f>8.2</f>
        <v>8.1999999999999993</v>
      </c>
      <c r="AQ328" s="26"/>
      <c r="AR328" s="26"/>
      <c r="AS328" s="26"/>
      <c r="AT328" s="26"/>
      <c r="AU328" s="26"/>
      <c r="AV328" s="26"/>
      <c r="AW328" s="26"/>
      <c r="AX328" s="26"/>
      <c r="AY328" s="26"/>
      <c r="AZ328" s="81">
        <f>7.7</f>
        <v>7.7</v>
      </c>
    </row>
    <row r="329" spans="1:52" ht="13" customHeight="1">
      <c r="A329" s="24" t="s">
        <v>309</v>
      </c>
      <c r="B329" s="24" t="s">
        <v>310</v>
      </c>
      <c r="C329" s="73"/>
      <c r="D329" s="39" t="s">
        <v>311</v>
      </c>
      <c r="E329" s="25" t="s">
        <v>312</v>
      </c>
      <c r="F329" s="25" t="s">
        <v>264</v>
      </c>
      <c r="G329" s="25" t="s">
        <v>265</v>
      </c>
      <c r="H329" s="38"/>
      <c r="I329" s="177" t="s">
        <v>327</v>
      </c>
      <c r="J329" s="202" t="s">
        <v>321</v>
      </c>
      <c r="K329" s="134">
        <f>6.8</f>
        <v>6.8</v>
      </c>
      <c r="L329" s="64">
        <f>6.3</f>
        <v>6.3</v>
      </c>
      <c r="M329" s="65">
        <f>7.5</f>
        <v>7.5</v>
      </c>
      <c r="N329" s="65"/>
      <c r="O329" s="65"/>
      <c r="P329" s="65"/>
      <c r="Q329" s="65">
        <f>7.2</f>
        <v>7.2</v>
      </c>
      <c r="R329" s="65"/>
      <c r="S329" s="65"/>
      <c r="T329" s="65"/>
      <c r="U329" s="65"/>
      <c r="V329" s="65">
        <f>7.2</f>
        <v>7.2</v>
      </c>
      <c r="W329" s="65"/>
      <c r="X329" s="65"/>
      <c r="Y329" s="65"/>
      <c r="Z329" s="65"/>
      <c r="AA329" s="65">
        <f>7.5</f>
        <v>7.5</v>
      </c>
      <c r="AB329" s="65"/>
      <c r="AC329" s="65"/>
      <c r="AD329" s="65"/>
      <c r="AE329" s="65"/>
      <c r="AF329" s="65">
        <f>7.4</f>
        <v>7.4</v>
      </c>
      <c r="AG329" s="65"/>
      <c r="AH329" s="65"/>
      <c r="AI329" s="65"/>
      <c r="AJ329" s="65"/>
      <c r="AK329" s="65"/>
      <c r="AL329" s="65"/>
      <c r="AM329" s="26"/>
      <c r="AN329" s="26"/>
      <c r="AO329" s="26"/>
      <c r="AP329" s="65">
        <f>6.9</f>
        <v>6.9</v>
      </c>
      <c r="AQ329" s="26"/>
      <c r="AR329" s="26"/>
      <c r="AS329" s="26"/>
      <c r="AT329" s="26"/>
      <c r="AU329" s="26"/>
      <c r="AV329" s="26"/>
      <c r="AW329" s="26"/>
      <c r="AX329" s="26"/>
      <c r="AY329" s="26"/>
      <c r="AZ329" s="81">
        <f>5.9</f>
        <v>5.9</v>
      </c>
    </row>
    <row r="330" spans="1:52" ht="13" customHeight="1">
      <c r="A330" s="24" t="s">
        <v>309</v>
      </c>
      <c r="B330" s="24" t="s">
        <v>310</v>
      </c>
      <c r="C330" s="73"/>
      <c r="D330" s="39" t="s">
        <v>311</v>
      </c>
      <c r="E330" s="25" t="s">
        <v>257</v>
      </c>
      <c r="F330" s="25" t="s">
        <v>264</v>
      </c>
      <c r="G330" s="25" t="s">
        <v>259</v>
      </c>
      <c r="H330" s="38"/>
      <c r="I330" s="177" t="s">
        <v>328</v>
      </c>
      <c r="J330" s="202" t="s">
        <v>321</v>
      </c>
      <c r="K330" s="134">
        <f>9.5</f>
        <v>9.5</v>
      </c>
      <c r="L330" s="64">
        <f>6.8</f>
        <v>6.8</v>
      </c>
      <c r="M330" s="65">
        <f>6.7</f>
        <v>6.7</v>
      </c>
      <c r="N330" s="65"/>
      <c r="O330" s="65"/>
      <c r="P330" s="65"/>
      <c r="Q330" s="65">
        <f>7.2</f>
        <v>7.2</v>
      </c>
      <c r="R330" s="65"/>
      <c r="S330" s="65"/>
      <c r="T330" s="65"/>
      <c r="U330" s="65"/>
      <c r="V330" s="65">
        <f>7.2</f>
        <v>7.2</v>
      </c>
      <c r="W330" s="65"/>
      <c r="X330" s="65"/>
      <c r="Y330" s="65"/>
      <c r="Z330" s="65"/>
      <c r="AA330" s="65">
        <f>7.8</f>
        <v>7.8</v>
      </c>
      <c r="AB330" s="65"/>
      <c r="AC330" s="65"/>
      <c r="AD330" s="65"/>
      <c r="AE330" s="65"/>
      <c r="AF330" s="65">
        <f>7.8</f>
        <v>7.8</v>
      </c>
      <c r="AG330" s="65"/>
      <c r="AH330" s="65"/>
      <c r="AI330" s="65"/>
      <c r="AJ330" s="65"/>
      <c r="AK330" s="65"/>
      <c r="AL330" s="65"/>
      <c r="AM330" s="26"/>
      <c r="AN330" s="26"/>
      <c r="AO330" s="26"/>
      <c r="AP330" s="65">
        <f>7.8</f>
        <v>7.8</v>
      </c>
      <c r="AQ330" s="26"/>
      <c r="AR330" s="26"/>
      <c r="AS330" s="26"/>
      <c r="AT330" s="26"/>
      <c r="AU330" s="26"/>
      <c r="AV330" s="26"/>
      <c r="AW330" s="26"/>
      <c r="AX330" s="26"/>
      <c r="AY330" s="26"/>
      <c r="AZ330" s="81">
        <f>7.1</f>
        <v>7.1</v>
      </c>
    </row>
    <row r="331" spans="1:52" ht="13" customHeight="1">
      <c r="A331" s="24" t="s">
        <v>309</v>
      </c>
      <c r="B331" s="24" t="s">
        <v>310</v>
      </c>
      <c r="C331" s="73"/>
      <c r="D331" s="39" t="s">
        <v>311</v>
      </c>
      <c r="E331" s="25" t="s">
        <v>312</v>
      </c>
      <c r="F331" s="25" t="s">
        <v>264</v>
      </c>
      <c r="G331" s="25" t="s">
        <v>265</v>
      </c>
      <c r="H331" s="38"/>
      <c r="I331" s="177" t="s">
        <v>328</v>
      </c>
      <c r="J331" s="202" t="s">
        <v>321</v>
      </c>
      <c r="K331" s="134">
        <f>9.5</f>
        <v>9.5</v>
      </c>
      <c r="L331" s="64">
        <f>6.8</f>
        <v>6.8</v>
      </c>
      <c r="M331" s="65">
        <f>6.7</f>
        <v>6.7</v>
      </c>
      <c r="N331" s="65"/>
      <c r="O331" s="65"/>
      <c r="P331" s="65"/>
      <c r="Q331" s="65">
        <f>7.2</f>
        <v>7.2</v>
      </c>
      <c r="R331" s="65"/>
      <c r="S331" s="65"/>
      <c r="T331" s="65"/>
      <c r="U331" s="65"/>
      <c r="V331" s="65">
        <f>7</f>
        <v>7</v>
      </c>
      <c r="W331" s="65"/>
      <c r="X331" s="65"/>
      <c r="Y331" s="65"/>
      <c r="Z331" s="65"/>
      <c r="AA331" s="65">
        <f>7.1</f>
        <v>7.1</v>
      </c>
      <c r="AB331" s="65"/>
      <c r="AC331" s="65"/>
      <c r="AD331" s="65"/>
      <c r="AE331" s="65"/>
      <c r="AF331" s="65">
        <f>6.5</f>
        <v>6.5</v>
      </c>
      <c r="AG331" s="65"/>
      <c r="AH331" s="65"/>
      <c r="AI331" s="65"/>
      <c r="AJ331" s="65"/>
      <c r="AK331" s="65"/>
      <c r="AL331" s="65"/>
      <c r="AM331" s="26"/>
      <c r="AN331" s="26"/>
      <c r="AO331" s="26"/>
      <c r="AP331" s="65">
        <f>1.3</f>
        <v>1.3</v>
      </c>
      <c r="AQ331" s="26"/>
      <c r="AR331" s="26"/>
      <c r="AS331" s="26"/>
      <c r="AT331" s="26"/>
      <c r="AU331" s="26"/>
      <c r="AV331" s="26"/>
      <c r="AW331" s="26"/>
      <c r="AX331" s="26"/>
      <c r="AY331" s="26"/>
      <c r="AZ331" s="81">
        <f>3.7</f>
        <v>3.7</v>
      </c>
    </row>
    <row r="332" spans="1:52" ht="13" customHeight="1">
      <c r="A332" s="24" t="s">
        <v>309</v>
      </c>
      <c r="B332" s="24" t="s">
        <v>310</v>
      </c>
      <c r="C332" s="73"/>
      <c r="D332" s="39" t="s">
        <v>311</v>
      </c>
      <c r="E332" s="25" t="s">
        <v>257</v>
      </c>
      <c r="F332" s="25" t="s">
        <v>264</v>
      </c>
      <c r="G332" s="25" t="s">
        <v>259</v>
      </c>
      <c r="H332" s="38"/>
      <c r="I332" s="177" t="s">
        <v>329</v>
      </c>
      <c r="J332" s="202" t="s">
        <v>321</v>
      </c>
      <c r="K332" s="134">
        <f>1.6</f>
        <v>1.6</v>
      </c>
      <c r="L332" s="64">
        <f>1.4</f>
        <v>1.4</v>
      </c>
      <c r="M332" s="65">
        <f>1.3</f>
        <v>1.3</v>
      </c>
      <c r="N332" s="65"/>
      <c r="O332" s="65"/>
      <c r="P332" s="65"/>
      <c r="Q332" s="65">
        <f>1.2</f>
        <v>1.2</v>
      </c>
      <c r="R332" s="65"/>
      <c r="S332" s="65"/>
      <c r="T332" s="65"/>
      <c r="U332" s="65"/>
      <c r="V332" s="65">
        <f>1.2</f>
        <v>1.2</v>
      </c>
      <c r="W332" s="65"/>
      <c r="X332" s="65"/>
      <c r="Y332" s="65"/>
      <c r="Z332" s="65"/>
      <c r="AA332" s="78">
        <f>1.3</f>
        <v>1.3</v>
      </c>
      <c r="AB332" s="65"/>
      <c r="AC332" s="65"/>
      <c r="AD332" s="65"/>
      <c r="AE332" s="65"/>
      <c r="AF332" s="78">
        <f>1.3</f>
        <v>1.3</v>
      </c>
      <c r="AG332" s="65"/>
      <c r="AH332" s="65"/>
      <c r="AI332" s="65"/>
      <c r="AJ332" s="65"/>
      <c r="AK332" s="65"/>
      <c r="AL332" s="65"/>
      <c r="AM332" s="26"/>
      <c r="AN332" s="26"/>
      <c r="AO332" s="26"/>
      <c r="AP332" s="34">
        <f>1.3</f>
        <v>1.3</v>
      </c>
      <c r="AQ332" s="26"/>
      <c r="AR332" s="26"/>
      <c r="AS332" s="26"/>
      <c r="AT332" s="26"/>
      <c r="AU332" s="26"/>
      <c r="AV332" s="26"/>
      <c r="AW332" s="26"/>
      <c r="AX332" s="26"/>
      <c r="AY332" s="26"/>
      <c r="AZ332" s="32">
        <f>1.2</f>
        <v>1.2</v>
      </c>
    </row>
    <row r="333" spans="1:52" ht="13" customHeight="1">
      <c r="A333" s="24" t="s">
        <v>309</v>
      </c>
      <c r="B333" s="24" t="s">
        <v>310</v>
      </c>
      <c r="C333" s="73"/>
      <c r="D333" s="39" t="s">
        <v>311</v>
      </c>
      <c r="E333" s="25" t="s">
        <v>312</v>
      </c>
      <c r="F333" s="25" t="s">
        <v>264</v>
      </c>
      <c r="G333" s="25" t="s">
        <v>265</v>
      </c>
      <c r="H333" s="38"/>
      <c r="I333" s="177" t="s">
        <v>329</v>
      </c>
      <c r="J333" s="202" t="s">
        <v>321</v>
      </c>
      <c r="K333" s="134">
        <f>1.6</f>
        <v>1.6</v>
      </c>
      <c r="L333" s="64">
        <f>1.4</f>
        <v>1.4</v>
      </c>
      <c r="M333" s="65">
        <f>1.3</f>
        <v>1.3</v>
      </c>
      <c r="N333" s="65"/>
      <c r="O333" s="65"/>
      <c r="P333" s="65"/>
      <c r="Q333" s="65">
        <f>1.2</f>
        <v>1.2</v>
      </c>
      <c r="R333" s="65"/>
      <c r="S333" s="65"/>
      <c r="T333" s="65"/>
      <c r="U333" s="65"/>
      <c r="V333" s="65">
        <f>1.2</f>
        <v>1.2</v>
      </c>
      <c r="W333" s="65"/>
      <c r="X333" s="65"/>
      <c r="Y333" s="65"/>
      <c r="Z333" s="65"/>
      <c r="AA333" s="78">
        <f>1.2</f>
        <v>1.2</v>
      </c>
      <c r="AB333" s="65"/>
      <c r="AC333" s="65"/>
      <c r="AD333" s="65"/>
      <c r="AE333" s="65"/>
      <c r="AF333" s="78">
        <f>1.1</f>
        <v>1.1000000000000001</v>
      </c>
      <c r="AG333" s="65"/>
      <c r="AH333" s="65"/>
      <c r="AI333" s="65"/>
      <c r="AJ333" s="65"/>
      <c r="AK333" s="65"/>
      <c r="AL333" s="65"/>
      <c r="AM333" s="26"/>
      <c r="AN333" s="26"/>
      <c r="AO333" s="26"/>
      <c r="AP333" s="34">
        <f>1</f>
        <v>1</v>
      </c>
      <c r="AQ333" s="26"/>
      <c r="AR333" s="26"/>
      <c r="AS333" s="26"/>
      <c r="AT333" s="26"/>
      <c r="AU333" s="26"/>
      <c r="AV333" s="26"/>
      <c r="AW333" s="26"/>
      <c r="AX333" s="26"/>
      <c r="AY333" s="26"/>
      <c r="AZ333" s="32">
        <f>0.8</f>
        <v>0.8</v>
      </c>
    </row>
    <row r="334" spans="1:52" ht="13" customHeight="1">
      <c r="A334" s="24" t="s">
        <v>309</v>
      </c>
      <c r="B334" s="24" t="s">
        <v>310</v>
      </c>
      <c r="C334" s="73"/>
      <c r="D334" s="39" t="s">
        <v>311</v>
      </c>
      <c r="E334" s="25" t="s">
        <v>257</v>
      </c>
      <c r="F334" s="25" t="s">
        <v>264</v>
      </c>
      <c r="G334" s="25" t="s">
        <v>259</v>
      </c>
      <c r="H334" s="38"/>
      <c r="I334" s="177" t="s">
        <v>330</v>
      </c>
      <c r="J334" s="202" t="s">
        <v>319</v>
      </c>
      <c r="K334" s="134">
        <f>45</f>
        <v>45</v>
      </c>
      <c r="L334" s="64">
        <f>44</f>
        <v>44</v>
      </c>
      <c r="M334" s="65">
        <f>45</f>
        <v>45</v>
      </c>
      <c r="N334" s="65"/>
      <c r="O334" s="65"/>
      <c r="P334" s="65"/>
      <c r="Q334" s="65">
        <f>46</f>
        <v>46</v>
      </c>
      <c r="R334" s="65"/>
      <c r="S334" s="65"/>
      <c r="T334" s="65"/>
      <c r="U334" s="65"/>
      <c r="V334" s="65">
        <f>51</f>
        <v>51</v>
      </c>
      <c r="W334" s="65"/>
      <c r="X334" s="65"/>
      <c r="Y334" s="65"/>
      <c r="Z334" s="65"/>
      <c r="AA334" s="78">
        <f>57</f>
        <v>57</v>
      </c>
      <c r="AB334" s="65"/>
      <c r="AC334" s="65"/>
      <c r="AD334" s="65"/>
      <c r="AE334" s="65"/>
      <c r="AF334" s="78">
        <f>61</f>
        <v>61</v>
      </c>
      <c r="AG334" s="65"/>
      <c r="AH334" s="65"/>
      <c r="AI334" s="65"/>
      <c r="AJ334" s="65"/>
      <c r="AK334" s="65"/>
      <c r="AL334" s="65"/>
      <c r="AM334" s="26"/>
      <c r="AN334" s="26"/>
      <c r="AO334" s="26"/>
      <c r="AP334" s="34">
        <f>71</f>
        <v>71</v>
      </c>
      <c r="AQ334" s="26"/>
      <c r="AR334" s="26"/>
      <c r="AS334" s="26"/>
      <c r="AT334" s="26"/>
      <c r="AU334" s="26"/>
      <c r="AV334" s="26"/>
      <c r="AW334" s="26"/>
      <c r="AX334" s="26"/>
      <c r="AY334" s="26"/>
      <c r="AZ334" s="32">
        <f>81</f>
        <v>81</v>
      </c>
    </row>
    <row r="335" spans="1:52" ht="13" customHeight="1">
      <c r="A335" s="24" t="s">
        <v>309</v>
      </c>
      <c r="B335" s="24" t="s">
        <v>310</v>
      </c>
      <c r="C335" s="73"/>
      <c r="D335" s="39" t="s">
        <v>311</v>
      </c>
      <c r="E335" s="25" t="s">
        <v>312</v>
      </c>
      <c r="F335" s="25" t="s">
        <v>264</v>
      </c>
      <c r="G335" s="25" t="s">
        <v>265</v>
      </c>
      <c r="H335" s="38"/>
      <c r="I335" s="177" t="s">
        <v>330</v>
      </c>
      <c r="J335" s="202" t="s">
        <v>319</v>
      </c>
      <c r="K335" s="134">
        <f>45</f>
        <v>45</v>
      </c>
      <c r="L335" s="64">
        <f>44</f>
        <v>44</v>
      </c>
      <c r="M335" s="65">
        <f>45</f>
        <v>45</v>
      </c>
      <c r="N335" s="65"/>
      <c r="O335" s="65"/>
      <c r="P335" s="65"/>
      <c r="Q335" s="65">
        <f>46</f>
        <v>46</v>
      </c>
      <c r="R335" s="65"/>
      <c r="S335" s="65"/>
      <c r="T335" s="65"/>
      <c r="U335" s="65"/>
      <c r="V335" s="65">
        <f>51</f>
        <v>51</v>
      </c>
      <c r="W335" s="65"/>
      <c r="X335" s="65"/>
      <c r="Y335" s="65"/>
      <c r="Z335" s="65"/>
      <c r="AA335" s="78">
        <f>56</f>
        <v>56</v>
      </c>
      <c r="AB335" s="65"/>
      <c r="AC335" s="65"/>
      <c r="AD335" s="65"/>
      <c r="AE335" s="65"/>
      <c r="AF335" s="78">
        <f>61</f>
        <v>61</v>
      </c>
      <c r="AG335" s="65"/>
      <c r="AH335" s="65"/>
      <c r="AI335" s="65"/>
      <c r="AJ335" s="65"/>
      <c r="AK335" s="65"/>
      <c r="AL335" s="65"/>
      <c r="AM335" s="26"/>
      <c r="AN335" s="26"/>
      <c r="AO335" s="26"/>
      <c r="AP335" s="34">
        <f>69</f>
        <v>69</v>
      </c>
      <c r="AQ335" s="26"/>
      <c r="AR335" s="26"/>
      <c r="AS335" s="26"/>
      <c r="AT335" s="26"/>
      <c r="AU335" s="26"/>
      <c r="AV335" s="26"/>
      <c r="AW335" s="26"/>
      <c r="AX335" s="26"/>
      <c r="AY335" s="26"/>
      <c r="AZ335" s="32">
        <f>79</f>
        <v>79</v>
      </c>
    </row>
    <row r="336" spans="1:52" ht="13" customHeight="1">
      <c r="A336" s="24" t="s">
        <v>309</v>
      </c>
      <c r="B336" s="24" t="s">
        <v>310</v>
      </c>
      <c r="C336" s="73"/>
      <c r="D336" s="39" t="s">
        <v>311</v>
      </c>
      <c r="E336" s="25" t="s">
        <v>257</v>
      </c>
      <c r="F336" s="25" t="s">
        <v>264</v>
      </c>
      <c r="G336" s="25" t="s">
        <v>259</v>
      </c>
      <c r="H336" s="38"/>
      <c r="I336" s="177" t="s">
        <v>331</v>
      </c>
      <c r="J336" s="202" t="s">
        <v>321</v>
      </c>
      <c r="K336" s="134">
        <f>20.7</f>
        <v>20.7</v>
      </c>
      <c r="L336" s="64">
        <f>18.9</f>
        <v>18.899999999999999</v>
      </c>
      <c r="M336" s="65">
        <f>18.7</f>
        <v>18.7</v>
      </c>
      <c r="N336" s="65"/>
      <c r="O336" s="65"/>
      <c r="P336" s="65"/>
      <c r="Q336" s="65">
        <f>19.4</f>
        <v>19.399999999999999</v>
      </c>
      <c r="R336" s="65"/>
      <c r="S336" s="65"/>
      <c r="T336" s="65"/>
      <c r="U336" s="65"/>
      <c r="V336" s="65">
        <f>21.4</f>
        <v>21.4</v>
      </c>
      <c r="W336" s="65"/>
      <c r="X336" s="65"/>
      <c r="Y336" s="65"/>
      <c r="Z336" s="65"/>
      <c r="AA336" s="78">
        <f>23.7</f>
        <v>23.7</v>
      </c>
      <c r="AB336" s="65"/>
      <c r="AC336" s="65"/>
      <c r="AD336" s="65"/>
      <c r="AE336" s="65"/>
      <c r="AF336" s="78">
        <f>25.3</f>
        <v>25.3</v>
      </c>
      <c r="AG336" s="65"/>
      <c r="AH336" s="65"/>
      <c r="AI336" s="65"/>
      <c r="AJ336" s="65"/>
      <c r="AK336" s="65"/>
      <c r="AL336" s="65"/>
      <c r="AM336" s="26"/>
      <c r="AN336" s="26"/>
      <c r="AO336" s="26"/>
      <c r="AP336" s="34">
        <f>27.7</f>
        <v>27.7</v>
      </c>
      <c r="AQ336" s="26"/>
      <c r="AR336" s="26"/>
      <c r="AS336" s="26"/>
      <c r="AT336" s="26"/>
      <c r="AU336" s="26"/>
      <c r="AV336" s="26"/>
      <c r="AW336" s="26"/>
      <c r="AX336" s="26"/>
      <c r="AY336" s="26"/>
      <c r="AZ336" s="32">
        <f>30.6</f>
        <v>30.6</v>
      </c>
    </row>
    <row r="337" spans="1:52" ht="13" customHeight="1">
      <c r="A337" s="24" t="s">
        <v>309</v>
      </c>
      <c r="B337" s="24" t="s">
        <v>310</v>
      </c>
      <c r="C337" s="73"/>
      <c r="D337" s="39" t="s">
        <v>311</v>
      </c>
      <c r="E337" s="25" t="s">
        <v>312</v>
      </c>
      <c r="F337" s="25" t="s">
        <v>264</v>
      </c>
      <c r="G337" s="25" t="s">
        <v>265</v>
      </c>
      <c r="H337" s="38"/>
      <c r="I337" s="177" t="s">
        <v>331</v>
      </c>
      <c r="J337" s="202" t="s">
        <v>321</v>
      </c>
      <c r="K337" s="134">
        <f>20.7</f>
        <v>20.7</v>
      </c>
      <c r="L337" s="64">
        <f>18.9</f>
        <v>18.899999999999999</v>
      </c>
      <c r="M337" s="65">
        <f>18.7</f>
        <v>18.7</v>
      </c>
      <c r="N337" s="65"/>
      <c r="O337" s="65"/>
      <c r="P337" s="65"/>
      <c r="Q337" s="65">
        <f>19.4</f>
        <v>19.399999999999999</v>
      </c>
      <c r="R337" s="65"/>
      <c r="S337" s="65"/>
      <c r="T337" s="65"/>
      <c r="U337" s="65"/>
      <c r="V337" s="65">
        <f>21.3</f>
        <v>21.3</v>
      </c>
      <c r="W337" s="65"/>
      <c r="X337" s="65"/>
      <c r="Y337" s="65"/>
      <c r="Z337" s="65"/>
      <c r="AA337" s="78">
        <f>23.3</f>
        <v>23.3</v>
      </c>
      <c r="AB337" s="65"/>
      <c r="AC337" s="65"/>
      <c r="AD337" s="65"/>
      <c r="AE337" s="65"/>
      <c r="AF337" s="78">
        <f>24.7</f>
        <v>24.7</v>
      </c>
      <c r="AG337" s="65"/>
      <c r="AH337" s="65"/>
      <c r="AI337" s="65"/>
      <c r="AJ337" s="65"/>
      <c r="AK337" s="65"/>
      <c r="AL337" s="65"/>
      <c r="AM337" s="26"/>
      <c r="AN337" s="26"/>
      <c r="AO337" s="26"/>
      <c r="AP337" s="34">
        <f>26.6</f>
        <v>26.6</v>
      </c>
      <c r="AQ337" s="26"/>
      <c r="AR337" s="26"/>
      <c r="AS337" s="26"/>
      <c r="AT337" s="26"/>
      <c r="AU337" s="26"/>
      <c r="AV337" s="26"/>
      <c r="AW337" s="26"/>
      <c r="AX337" s="26"/>
      <c r="AY337" s="26"/>
      <c r="AZ337" s="32">
        <f>29.1</f>
        <v>29.1</v>
      </c>
    </row>
    <row r="338" spans="1:52" ht="13" customHeight="1">
      <c r="A338" s="24" t="s">
        <v>309</v>
      </c>
      <c r="B338" s="24" t="s">
        <v>310</v>
      </c>
      <c r="C338" s="73"/>
      <c r="D338" s="39" t="s">
        <v>311</v>
      </c>
      <c r="E338" s="25" t="s">
        <v>257</v>
      </c>
      <c r="F338" s="25" t="s">
        <v>264</v>
      </c>
      <c r="G338" s="25" t="s">
        <v>259</v>
      </c>
      <c r="H338" s="38"/>
      <c r="I338" s="177" t="s">
        <v>332</v>
      </c>
      <c r="J338" s="202" t="s">
        <v>321</v>
      </c>
      <c r="K338" s="134">
        <f>5.9</f>
        <v>5.9</v>
      </c>
      <c r="L338" s="64">
        <f>3.3</f>
        <v>3.3</v>
      </c>
      <c r="M338" s="65">
        <f>4.5</f>
        <v>4.5</v>
      </c>
      <c r="N338" s="65"/>
      <c r="O338" s="65"/>
      <c r="P338" s="65"/>
      <c r="Q338" s="65">
        <f>5.7</f>
        <v>5.7</v>
      </c>
      <c r="R338" s="65"/>
      <c r="S338" s="65"/>
      <c r="T338" s="65"/>
      <c r="U338" s="65"/>
      <c r="V338" s="65">
        <f>6.6</f>
        <v>6.6</v>
      </c>
      <c r="W338" s="65"/>
      <c r="X338" s="65"/>
      <c r="Y338" s="65"/>
      <c r="Z338" s="65"/>
      <c r="AA338" s="78">
        <f>7.2</f>
        <v>7.2</v>
      </c>
      <c r="AB338" s="65"/>
      <c r="AC338" s="65"/>
      <c r="AD338" s="65"/>
      <c r="AE338" s="65"/>
      <c r="AF338" s="78">
        <f>7.6</f>
        <v>7.6</v>
      </c>
      <c r="AG338" s="65"/>
      <c r="AH338" s="65"/>
      <c r="AI338" s="65"/>
      <c r="AJ338" s="65"/>
      <c r="AK338" s="65"/>
      <c r="AL338" s="65"/>
      <c r="AM338" s="26"/>
      <c r="AN338" s="26"/>
      <c r="AO338" s="26"/>
      <c r="AP338" s="34">
        <f>7.7</f>
        <v>7.7</v>
      </c>
      <c r="AQ338" s="26"/>
      <c r="AR338" s="26"/>
      <c r="AS338" s="26"/>
      <c r="AT338" s="26"/>
      <c r="AU338" s="26"/>
      <c r="AV338" s="26"/>
      <c r="AW338" s="26"/>
      <c r="AX338" s="26"/>
      <c r="AY338" s="26"/>
      <c r="AZ338" s="32">
        <f>8</f>
        <v>8</v>
      </c>
    </row>
    <row r="339" spans="1:52" ht="13" customHeight="1">
      <c r="A339" s="24" t="s">
        <v>309</v>
      </c>
      <c r="B339" s="24" t="s">
        <v>310</v>
      </c>
      <c r="C339" s="73"/>
      <c r="D339" s="39" t="s">
        <v>311</v>
      </c>
      <c r="E339" s="25" t="s">
        <v>312</v>
      </c>
      <c r="F339" s="25" t="s">
        <v>264</v>
      </c>
      <c r="G339" s="25" t="s">
        <v>265</v>
      </c>
      <c r="H339" s="38"/>
      <c r="I339" s="177" t="s">
        <v>332</v>
      </c>
      <c r="J339" s="202" t="s">
        <v>321</v>
      </c>
      <c r="K339" s="134">
        <f>5.9</f>
        <v>5.9</v>
      </c>
      <c r="L339" s="64">
        <f>3.3</f>
        <v>3.3</v>
      </c>
      <c r="M339" s="65">
        <f>4.5</f>
        <v>4.5</v>
      </c>
      <c r="N339" s="65"/>
      <c r="O339" s="65"/>
      <c r="P339" s="65"/>
      <c r="Q339" s="65">
        <f>5.7</f>
        <v>5.7</v>
      </c>
      <c r="R339" s="65"/>
      <c r="S339" s="65"/>
      <c r="T339" s="65"/>
      <c r="U339" s="65"/>
      <c r="V339" s="65">
        <f>6.6</f>
        <v>6.6</v>
      </c>
      <c r="W339" s="65"/>
      <c r="X339" s="65"/>
      <c r="Y339" s="65"/>
      <c r="Z339" s="65"/>
      <c r="AA339" s="78">
        <f>6.8</f>
        <v>6.8</v>
      </c>
      <c r="AB339" s="65"/>
      <c r="AC339" s="65"/>
      <c r="AD339" s="65"/>
      <c r="AE339" s="65"/>
      <c r="AF339" s="78">
        <f>6.8</f>
        <v>6.8</v>
      </c>
      <c r="AG339" s="65"/>
      <c r="AH339" s="65"/>
      <c r="AI339" s="65"/>
      <c r="AJ339" s="65"/>
      <c r="AK339" s="65"/>
      <c r="AL339" s="65"/>
      <c r="AM339" s="26"/>
      <c r="AN339" s="26"/>
      <c r="AO339" s="26"/>
      <c r="AP339" s="34">
        <f>6.2</f>
        <v>6.2</v>
      </c>
      <c r="AQ339" s="26"/>
      <c r="AR339" s="26"/>
      <c r="AS339" s="26"/>
      <c r="AT339" s="26"/>
      <c r="AU339" s="26"/>
      <c r="AV339" s="26"/>
      <c r="AW339" s="26"/>
      <c r="AX339" s="26"/>
      <c r="AY339" s="26"/>
      <c r="AZ339" s="32">
        <f>6</f>
        <v>6</v>
      </c>
    </row>
    <row r="340" spans="1:52" ht="13" customHeight="1">
      <c r="A340" s="24" t="s">
        <v>309</v>
      </c>
      <c r="B340" s="24" t="s">
        <v>310</v>
      </c>
      <c r="C340" s="73"/>
      <c r="D340" s="39" t="s">
        <v>311</v>
      </c>
      <c r="E340" s="25" t="s">
        <v>257</v>
      </c>
      <c r="F340" s="25" t="s">
        <v>264</v>
      </c>
      <c r="G340" s="25" t="s">
        <v>259</v>
      </c>
      <c r="H340" s="38"/>
      <c r="I340" s="177" t="s">
        <v>333</v>
      </c>
      <c r="J340" s="202" t="s">
        <v>321</v>
      </c>
      <c r="K340" s="134">
        <f>1.7</f>
        <v>1.7</v>
      </c>
      <c r="L340" s="64">
        <f>1.2</f>
        <v>1.2</v>
      </c>
      <c r="M340" s="65">
        <f>1.3</f>
        <v>1.3</v>
      </c>
      <c r="N340" s="65"/>
      <c r="O340" s="65"/>
      <c r="P340" s="65"/>
      <c r="Q340" s="65">
        <f>1.6</f>
        <v>1.6</v>
      </c>
      <c r="R340" s="65"/>
      <c r="S340" s="65"/>
      <c r="T340" s="65"/>
      <c r="U340" s="65"/>
      <c r="V340" s="65">
        <f>1.8</f>
        <v>1.8</v>
      </c>
      <c r="W340" s="65"/>
      <c r="X340" s="65"/>
      <c r="Y340" s="65"/>
      <c r="Z340" s="65"/>
      <c r="AA340" s="78">
        <f>2.1</f>
        <v>2.1</v>
      </c>
      <c r="AB340" s="65"/>
      <c r="AC340" s="65"/>
      <c r="AD340" s="65"/>
      <c r="AE340" s="65"/>
      <c r="AF340" s="78">
        <f>2.3</f>
        <v>2.2999999999999998</v>
      </c>
      <c r="AG340" s="65"/>
      <c r="AH340" s="65"/>
      <c r="AI340" s="65"/>
      <c r="AJ340" s="65"/>
      <c r="AK340" s="65"/>
      <c r="AL340" s="65"/>
      <c r="AM340" s="26"/>
      <c r="AN340" s="26"/>
      <c r="AO340" s="26"/>
      <c r="AP340" s="34">
        <f>3</f>
        <v>3</v>
      </c>
      <c r="AQ340" s="26"/>
      <c r="AR340" s="26"/>
      <c r="AS340" s="26"/>
      <c r="AT340" s="26"/>
      <c r="AU340" s="26"/>
      <c r="AV340" s="26"/>
      <c r="AW340" s="26"/>
      <c r="AX340" s="26"/>
      <c r="AY340" s="26"/>
      <c r="AZ340" s="32">
        <f>3.7</f>
        <v>3.7</v>
      </c>
    </row>
    <row r="341" spans="1:52" ht="13" customHeight="1">
      <c r="A341" s="24" t="s">
        <v>309</v>
      </c>
      <c r="B341" s="24" t="s">
        <v>310</v>
      </c>
      <c r="C341" s="73"/>
      <c r="D341" s="39" t="s">
        <v>311</v>
      </c>
      <c r="E341" s="25" t="s">
        <v>312</v>
      </c>
      <c r="F341" s="25" t="s">
        <v>264</v>
      </c>
      <c r="G341" s="25" t="s">
        <v>265</v>
      </c>
      <c r="H341" s="38"/>
      <c r="I341" s="177" t="s">
        <v>333</v>
      </c>
      <c r="J341" s="202" t="s">
        <v>321</v>
      </c>
      <c r="K341" s="134">
        <f>1.7</f>
        <v>1.7</v>
      </c>
      <c r="L341" s="64">
        <f>1.2</f>
        <v>1.2</v>
      </c>
      <c r="M341" s="65">
        <f>1.3</f>
        <v>1.3</v>
      </c>
      <c r="N341" s="65"/>
      <c r="O341" s="65"/>
      <c r="P341" s="65"/>
      <c r="Q341" s="65">
        <f>1.6</f>
        <v>1.6</v>
      </c>
      <c r="R341" s="65"/>
      <c r="S341" s="65"/>
      <c r="T341" s="65"/>
      <c r="U341" s="65"/>
      <c r="V341" s="65">
        <f>1.8</f>
        <v>1.8</v>
      </c>
      <c r="W341" s="65"/>
      <c r="X341" s="65"/>
      <c r="Y341" s="65"/>
      <c r="Z341" s="65"/>
      <c r="AA341" s="78">
        <f>2</f>
        <v>2</v>
      </c>
      <c r="AB341" s="65"/>
      <c r="AC341" s="65"/>
      <c r="AD341" s="65"/>
      <c r="AE341" s="65"/>
      <c r="AF341" s="78">
        <f>2.2</f>
        <v>2.2000000000000002</v>
      </c>
      <c r="AG341" s="65"/>
      <c r="AH341" s="65"/>
      <c r="AI341" s="65"/>
      <c r="AJ341" s="65"/>
      <c r="AK341" s="65"/>
      <c r="AL341" s="65"/>
      <c r="AM341" s="26"/>
      <c r="AN341" s="26"/>
      <c r="AO341" s="26"/>
      <c r="AP341" s="34">
        <f>2.8</f>
        <v>2.8</v>
      </c>
      <c r="AQ341" s="26"/>
      <c r="AR341" s="26"/>
      <c r="AS341" s="26"/>
      <c r="AT341" s="26"/>
      <c r="AU341" s="26"/>
      <c r="AV341" s="26"/>
      <c r="AW341" s="26"/>
      <c r="AX341" s="26"/>
      <c r="AY341" s="26"/>
      <c r="AZ341" s="32">
        <f>3.4</f>
        <v>3.4</v>
      </c>
    </row>
    <row r="342" spans="1:52" ht="13" customHeight="1">
      <c r="A342" s="24" t="s">
        <v>309</v>
      </c>
      <c r="B342" s="24" t="s">
        <v>310</v>
      </c>
      <c r="C342" s="73"/>
      <c r="D342" s="39" t="s">
        <v>311</v>
      </c>
      <c r="E342" s="25" t="s">
        <v>257</v>
      </c>
      <c r="F342" s="25" t="s">
        <v>264</v>
      </c>
      <c r="G342" s="25" t="s">
        <v>259</v>
      </c>
      <c r="H342" s="38"/>
      <c r="I342" s="177" t="s">
        <v>334</v>
      </c>
      <c r="J342" s="202" t="s">
        <v>321</v>
      </c>
      <c r="K342" s="134">
        <f>0.9</f>
        <v>0.9</v>
      </c>
      <c r="L342" s="64">
        <f>3</f>
        <v>3</v>
      </c>
      <c r="M342" s="65">
        <f>2.4</f>
        <v>2.4</v>
      </c>
      <c r="N342" s="65"/>
      <c r="O342" s="65"/>
      <c r="P342" s="65"/>
      <c r="Q342" s="65">
        <f>1.9</f>
        <v>1.9</v>
      </c>
      <c r="R342" s="65"/>
      <c r="S342" s="65"/>
      <c r="T342" s="65"/>
      <c r="U342" s="65"/>
      <c r="V342" s="65">
        <f>2.3</f>
        <v>2.2999999999999998</v>
      </c>
      <c r="W342" s="65"/>
      <c r="X342" s="65"/>
      <c r="Y342" s="65"/>
      <c r="Z342" s="65"/>
      <c r="AA342" s="78">
        <f>2.6</f>
        <v>2.6</v>
      </c>
      <c r="AB342" s="65"/>
      <c r="AC342" s="65"/>
      <c r="AD342" s="65"/>
      <c r="AE342" s="65"/>
      <c r="AF342" s="78">
        <f>2.7</f>
        <v>2.7</v>
      </c>
      <c r="AG342" s="65"/>
      <c r="AH342" s="65"/>
      <c r="AI342" s="65"/>
      <c r="AJ342" s="65"/>
      <c r="AK342" s="65"/>
      <c r="AL342" s="65"/>
      <c r="AM342" s="26"/>
      <c r="AN342" s="26"/>
      <c r="AO342" s="26"/>
      <c r="AP342" s="34">
        <f>2.9</f>
        <v>2.9</v>
      </c>
      <c r="AQ342" s="26"/>
      <c r="AR342" s="26"/>
      <c r="AS342" s="26"/>
      <c r="AT342" s="26"/>
      <c r="AU342" s="26"/>
      <c r="AV342" s="26"/>
      <c r="AW342" s="26"/>
      <c r="AX342" s="26"/>
      <c r="AY342" s="26"/>
      <c r="AZ342" s="32">
        <f>3.2</f>
        <v>3.2</v>
      </c>
    </row>
    <row r="343" spans="1:52" ht="13" customHeight="1">
      <c r="A343" s="24" t="s">
        <v>309</v>
      </c>
      <c r="B343" s="24" t="s">
        <v>310</v>
      </c>
      <c r="C343" s="73"/>
      <c r="D343" s="39" t="s">
        <v>311</v>
      </c>
      <c r="E343" s="25" t="s">
        <v>312</v>
      </c>
      <c r="F343" s="25" t="s">
        <v>264</v>
      </c>
      <c r="G343" s="25" t="s">
        <v>265</v>
      </c>
      <c r="H343" s="38"/>
      <c r="I343" s="177" t="s">
        <v>334</v>
      </c>
      <c r="J343" s="202" t="s">
        <v>321</v>
      </c>
      <c r="K343" s="134">
        <f>0.9</f>
        <v>0.9</v>
      </c>
      <c r="L343" s="64">
        <f>3</f>
        <v>3</v>
      </c>
      <c r="M343" s="65">
        <f>2.4</f>
        <v>2.4</v>
      </c>
      <c r="N343" s="65"/>
      <c r="O343" s="65"/>
      <c r="P343" s="65"/>
      <c r="Q343" s="65">
        <f>1.9</f>
        <v>1.9</v>
      </c>
      <c r="R343" s="65"/>
      <c r="S343" s="65"/>
      <c r="T343" s="65"/>
      <c r="U343" s="65"/>
      <c r="V343" s="65">
        <f>2.3</f>
        <v>2.2999999999999998</v>
      </c>
      <c r="W343" s="65"/>
      <c r="X343" s="65"/>
      <c r="Y343" s="65"/>
      <c r="Z343" s="65"/>
      <c r="AA343" s="78">
        <f>2.4</f>
        <v>2.4</v>
      </c>
      <c r="AB343" s="65"/>
      <c r="AC343" s="65"/>
      <c r="AD343" s="65"/>
      <c r="AE343" s="65"/>
      <c r="AF343" s="78">
        <f>2.5</f>
        <v>2.5</v>
      </c>
      <c r="AG343" s="65"/>
      <c r="AH343" s="65"/>
      <c r="AI343" s="65"/>
      <c r="AJ343" s="65"/>
      <c r="AK343" s="65"/>
      <c r="AL343" s="65"/>
      <c r="AM343" s="26"/>
      <c r="AN343" s="26"/>
      <c r="AO343" s="26"/>
      <c r="AP343" s="34">
        <f>2.5</f>
        <v>2.5</v>
      </c>
      <c r="AQ343" s="26"/>
      <c r="AR343" s="26"/>
      <c r="AS343" s="26"/>
      <c r="AT343" s="26"/>
      <c r="AU343" s="26"/>
      <c r="AV343" s="26"/>
      <c r="AW343" s="26"/>
      <c r="AX343" s="26"/>
      <c r="AY343" s="26"/>
      <c r="AZ343" s="32">
        <f>2.6</f>
        <v>2.6</v>
      </c>
    </row>
    <row r="344" spans="1:52" ht="13" customHeight="1">
      <c r="A344" s="24" t="s">
        <v>309</v>
      </c>
      <c r="B344" s="24" t="s">
        <v>310</v>
      </c>
      <c r="C344" s="73"/>
      <c r="D344" s="39" t="s">
        <v>311</v>
      </c>
      <c r="E344" s="25" t="s">
        <v>257</v>
      </c>
      <c r="F344" s="25" t="s">
        <v>264</v>
      </c>
      <c r="G344" s="25" t="s">
        <v>259</v>
      </c>
      <c r="H344" s="38"/>
      <c r="I344" s="177" t="s">
        <v>335</v>
      </c>
      <c r="J344" s="202" t="s">
        <v>319</v>
      </c>
      <c r="K344" s="134">
        <f>16</f>
        <v>16</v>
      </c>
      <c r="L344" s="64">
        <f>16</f>
        <v>16</v>
      </c>
      <c r="M344" s="65">
        <f>17</f>
        <v>17</v>
      </c>
      <c r="N344" s="65"/>
      <c r="O344" s="65"/>
      <c r="P344" s="65"/>
      <c r="Q344" s="65">
        <f>17</f>
        <v>17</v>
      </c>
      <c r="R344" s="65"/>
      <c r="S344" s="65"/>
      <c r="T344" s="65"/>
      <c r="U344" s="65"/>
      <c r="V344" s="65">
        <f>20</f>
        <v>20</v>
      </c>
      <c r="W344" s="65"/>
      <c r="X344" s="65"/>
      <c r="Y344" s="65"/>
      <c r="Z344" s="65"/>
      <c r="AA344" s="78">
        <f>22</f>
        <v>22</v>
      </c>
      <c r="AB344" s="65"/>
      <c r="AC344" s="65"/>
      <c r="AD344" s="65"/>
      <c r="AE344" s="65"/>
      <c r="AF344" s="78">
        <f>23</f>
        <v>23</v>
      </c>
      <c r="AG344" s="65"/>
      <c r="AH344" s="65"/>
      <c r="AI344" s="65"/>
      <c r="AJ344" s="65"/>
      <c r="AK344" s="65"/>
      <c r="AL344" s="65"/>
      <c r="AM344" s="26"/>
      <c r="AN344" s="26"/>
      <c r="AO344" s="26"/>
      <c r="AP344" s="34">
        <f>26</f>
        <v>26</v>
      </c>
      <c r="AQ344" s="26"/>
      <c r="AR344" s="26"/>
      <c r="AS344" s="26"/>
      <c r="AT344" s="26"/>
      <c r="AU344" s="26"/>
      <c r="AV344" s="26"/>
      <c r="AW344" s="26"/>
      <c r="AX344" s="26"/>
      <c r="AY344" s="26"/>
      <c r="AZ344" s="32">
        <f>28</f>
        <v>28</v>
      </c>
    </row>
    <row r="345" spans="1:52" ht="13" customHeight="1">
      <c r="A345" s="24" t="s">
        <v>309</v>
      </c>
      <c r="B345" s="24" t="s">
        <v>310</v>
      </c>
      <c r="C345" s="73"/>
      <c r="D345" s="39" t="s">
        <v>311</v>
      </c>
      <c r="E345" s="25" t="s">
        <v>312</v>
      </c>
      <c r="F345" s="25" t="s">
        <v>264</v>
      </c>
      <c r="G345" s="25" t="s">
        <v>265</v>
      </c>
      <c r="H345" s="38"/>
      <c r="I345" s="177" t="s">
        <v>335</v>
      </c>
      <c r="J345" s="202" t="s">
        <v>319</v>
      </c>
      <c r="K345" s="134">
        <f>16</f>
        <v>16</v>
      </c>
      <c r="L345" s="64">
        <f>16</f>
        <v>16</v>
      </c>
      <c r="M345" s="65">
        <f>17</f>
        <v>17</v>
      </c>
      <c r="N345" s="65"/>
      <c r="O345" s="65"/>
      <c r="P345" s="65"/>
      <c r="Q345" s="65">
        <f>17</f>
        <v>17</v>
      </c>
      <c r="R345" s="65"/>
      <c r="S345" s="65"/>
      <c r="T345" s="65"/>
      <c r="U345" s="65"/>
      <c r="V345" s="65">
        <f>20</f>
        <v>20</v>
      </c>
      <c r="W345" s="65"/>
      <c r="X345" s="65"/>
      <c r="Y345" s="65"/>
      <c r="Z345" s="65"/>
      <c r="AA345" s="78">
        <f>22</f>
        <v>22</v>
      </c>
      <c r="AB345" s="65"/>
      <c r="AC345" s="65"/>
      <c r="AD345" s="65"/>
      <c r="AE345" s="65"/>
      <c r="AF345" s="78">
        <f>23</f>
        <v>23</v>
      </c>
      <c r="AG345" s="65"/>
      <c r="AH345" s="65"/>
      <c r="AI345" s="65"/>
      <c r="AJ345" s="65"/>
      <c r="AK345" s="65"/>
      <c r="AL345" s="65"/>
      <c r="AM345" s="26"/>
      <c r="AN345" s="26"/>
      <c r="AO345" s="26"/>
      <c r="AP345" s="34">
        <f>26</f>
        <v>26</v>
      </c>
      <c r="AQ345" s="26"/>
      <c r="AR345" s="26"/>
      <c r="AS345" s="26"/>
      <c r="AT345" s="26"/>
      <c r="AU345" s="26"/>
      <c r="AV345" s="26"/>
      <c r="AW345" s="26"/>
      <c r="AX345" s="26"/>
      <c r="AY345" s="26"/>
      <c r="AZ345" s="32">
        <f>28</f>
        <v>28</v>
      </c>
    </row>
    <row r="346" spans="1:52" ht="13" customHeight="1">
      <c r="A346" s="24" t="s">
        <v>309</v>
      </c>
      <c r="B346" s="24" t="s">
        <v>310</v>
      </c>
      <c r="C346" s="73"/>
      <c r="D346" s="39" t="s">
        <v>311</v>
      </c>
      <c r="E346" s="25" t="s">
        <v>257</v>
      </c>
      <c r="F346" s="25" t="s">
        <v>264</v>
      </c>
      <c r="G346" s="25" t="s">
        <v>259</v>
      </c>
      <c r="H346" s="38"/>
      <c r="I346" s="177" t="s">
        <v>336</v>
      </c>
      <c r="J346" s="202" t="s">
        <v>321</v>
      </c>
      <c r="K346" s="134">
        <f>3</f>
        <v>3</v>
      </c>
      <c r="L346" s="64">
        <f>3</f>
        <v>3</v>
      </c>
      <c r="M346" s="65">
        <f>3</f>
        <v>3</v>
      </c>
      <c r="N346" s="65"/>
      <c r="O346" s="65"/>
      <c r="P346" s="65"/>
      <c r="Q346" s="65">
        <f>3</f>
        <v>3</v>
      </c>
      <c r="R346" s="65"/>
      <c r="S346" s="65"/>
      <c r="T346" s="65"/>
      <c r="U346" s="65"/>
      <c r="V346" s="65">
        <f>3.1</f>
        <v>3.1</v>
      </c>
      <c r="W346" s="65"/>
      <c r="X346" s="65"/>
      <c r="Y346" s="65"/>
      <c r="Z346" s="65"/>
      <c r="AA346" s="78">
        <f>3.2</f>
        <v>3.2</v>
      </c>
      <c r="AB346" s="65"/>
      <c r="AC346" s="65"/>
      <c r="AD346" s="65"/>
      <c r="AE346" s="65"/>
      <c r="AF346" s="78">
        <f>3.3</f>
        <v>3.3</v>
      </c>
      <c r="AG346" s="65"/>
      <c r="AH346" s="65"/>
      <c r="AI346" s="65"/>
      <c r="AJ346" s="65"/>
      <c r="AK346" s="65"/>
      <c r="AL346" s="65"/>
      <c r="AM346" s="26"/>
      <c r="AN346" s="26"/>
      <c r="AO346" s="26"/>
      <c r="AP346" s="34">
        <f>3.4</f>
        <v>3.4</v>
      </c>
      <c r="AQ346" s="26"/>
      <c r="AR346" s="26"/>
      <c r="AS346" s="26"/>
      <c r="AT346" s="26"/>
      <c r="AU346" s="26"/>
      <c r="AV346" s="26"/>
      <c r="AW346" s="26"/>
      <c r="AX346" s="26"/>
      <c r="AY346" s="26"/>
      <c r="AZ346" s="32">
        <f>3.5</f>
        <v>3.5</v>
      </c>
    </row>
    <row r="347" spans="1:52" ht="13" customHeight="1">
      <c r="A347" s="24" t="s">
        <v>309</v>
      </c>
      <c r="B347" s="24" t="s">
        <v>310</v>
      </c>
      <c r="C347" s="73"/>
      <c r="D347" s="39" t="s">
        <v>311</v>
      </c>
      <c r="E347" s="25" t="s">
        <v>312</v>
      </c>
      <c r="F347" s="25" t="s">
        <v>264</v>
      </c>
      <c r="G347" s="25" t="s">
        <v>265</v>
      </c>
      <c r="H347" s="38"/>
      <c r="I347" s="177" t="s">
        <v>336</v>
      </c>
      <c r="J347" s="202" t="s">
        <v>321</v>
      </c>
      <c r="K347" s="134">
        <f>3</f>
        <v>3</v>
      </c>
      <c r="L347" s="64">
        <f>3</f>
        <v>3</v>
      </c>
      <c r="M347" s="65">
        <f>3</f>
        <v>3</v>
      </c>
      <c r="N347" s="65"/>
      <c r="O347" s="65"/>
      <c r="P347" s="65"/>
      <c r="Q347" s="65">
        <f>3</f>
        <v>3</v>
      </c>
      <c r="R347" s="65"/>
      <c r="S347" s="65"/>
      <c r="T347" s="65"/>
      <c r="U347" s="65"/>
      <c r="V347" s="65">
        <f>3.1</f>
        <v>3.1</v>
      </c>
      <c r="W347" s="65"/>
      <c r="X347" s="65"/>
      <c r="Y347" s="65"/>
      <c r="Z347" s="65"/>
      <c r="AA347" s="78">
        <f>3.2</f>
        <v>3.2</v>
      </c>
      <c r="AB347" s="65"/>
      <c r="AC347" s="65"/>
      <c r="AD347" s="65"/>
      <c r="AE347" s="65"/>
      <c r="AF347" s="78">
        <f>3.2</f>
        <v>3.2</v>
      </c>
      <c r="AG347" s="65"/>
      <c r="AH347" s="65"/>
      <c r="AI347" s="65"/>
      <c r="AJ347" s="65"/>
      <c r="AK347" s="65"/>
      <c r="AL347" s="65"/>
      <c r="AM347" s="26"/>
      <c r="AN347" s="26"/>
      <c r="AO347" s="26"/>
      <c r="AP347" s="34">
        <f>3.3</f>
        <v>3.3</v>
      </c>
      <c r="AQ347" s="26"/>
      <c r="AR347" s="26"/>
      <c r="AS347" s="26"/>
      <c r="AT347" s="26"/>
      <c r="AU347" s="26"/>
      <c r="AV347" s="26"/>
      <c r="AW347" s="26"/>
      <c r="AX347" s="26"/>
      <c r="AY347" s="26"/>
      <c r="AZ347" s="32">
        <f>3.3</f>
        <v>3.3</v>
      </c>
    </row>
    <row r="348" spans="1:52" ht="13" customHeight="1">
      <c r="A348" s="24" t="s">
        <v>309</v>
      </c>
      <c r="B348" s="24" t="s">
        <v>310</v>
      </c>
      <c r="C348" s="73"/>
      <c r="D348" s="39" t="s">
        <v>311</v>
      </c>
      <c r="E348" s="25" t="s">
        <v>257</v>
      </c>
      <c r="F348" s="25" t="s">
        <v>264</v>
      </c>
      <c r="G348" s="25" t="s">
        <v>259</v>
      </c>
      <c r="H348" s="38"/>
      <c r="I348" s="177" t="s">
        <v>337</v>
      </c>
      <c r="J348" s="202" t="s">
        <v>321</v>
      </c>
      <c r="K348" s="134">
        <f>11.4</f>
        <v>11.4</v>
      </c>
      <c r="L348" s="64">
        <f>13.7</f>
        <v>13.7</v>
      </c>
      <c r="M348" s="65">
        <f>11.7</f>
        <v>11.7</v>
      </c>
      <c r="N348" s="65"/>
      <c r="O348" s="65"/>
      <c r="P348" s="65"/>
      <c r="Q348" s="65">
        <f>11.9</f>
        <v>11.9</v>
      </c>
      <c r="R348" s="65"/>
      <c r="S348" s="65"/>
      <c r="T348" s="65"/>
      <c r="U348" s="65"/>
      <c r="V348" s="65">
        <f>12.7</f>
        <v>12.7</v>
      </c>
      <c r="W348" s="65"/>
      <c r="X348" s="65"/>
      <c r="Y348" s="65"/>
      <c r="Z348" s="65"/>
      <c r="AA348" s="78">
        <f>13.1</f>
        <v>13.1</v>
      </c>
      <c r="AB348" s="65"/>
      <c r="AC348" s="65"/>
      <c r="AD348" s="65"/>
      <c r="AE348" s="65"/>
      <c r="AF348" s="78">
        <f>13.6</f>
        <v>13.6</v>
      </c>
      <c r="AG348" s="65"/>
      <c r="AH348" s="65"/>
      <c r="AI348" s="65"/>
      <c r="AJ348" s="65"/>
      <c r="AK348" s="65"/>
      <c r="AL348" s="65"/>
      <c r="AM348" s="26"/>
      <c r="AN348" s="26"/>
      <c r="AO348" s="26"/>
      <c r="AP348" s="34">
        <f>14.3</f>
        <v>14.3</v>
      </c>
      <c r="AQ348" s="26"/>
      <c r="AR348" s="26"/>
      <c r="AS348" s="26"/>
      <c r="AT348" s="26"/>
      <c r="AU348" s="26"/>
      <c r="AV348" s="26"/>
      <c r="AW348" s="26"/>
      <c r="AX348" s="26"/>
      <c r="AY348" s="26"/>
      <c r="AZ348" s="32">
        <f>14.6</f>
        <v>14.6</v>
      </c>
    </row>
    <row r="349" spans="1:52" ht="13" customHeight="1">
      <c r="A349" s="24" t="s">
        <v>309</v>
      </c>
      <c r="B349" s="24" t="s">
        <v>310</v>
      </c>
      <c r="C349" s="73"/>
      <c r="D349" s="39" t="s">
        <v>311</v>
      </c>
      <c r="E349" s="25" t="s">
        <v>312</v>
      </c>
      <c r="F349" s="25" t="s">
        <v>264</v>
      </c>
      <c r="G349" s="25" t="s">
        <v>265</v>
      </c>
      <c r="H349" s="38"/>
      <c r="I349" s="177" t="s">
        <v>337</v>
      </c>
      <c r="J349" s="202" t="s">
        <v>321</v>
      </c>
      <c r="K349" s="134">
        <f>11.4</f>
        <v>11.4</v>
      </c>
      <c r="L349" s="64">
        <f>13.7</f>
        <v>13.7</v>
      </c>
      <c r="M349" s="65">
        <f>11.7</f>
        <v>11.7</v>
      </c>
      <c r="N349" s="65"/>
      <c r="O349" s="65"/>
      <c r="P349" s="65"/>
      <c r="Q349" s="65">
        <f>11.9</f>
        <v>11.9</v>
      </c>
      <c r="R349" s="65"/>
      <c r="S349" s="65"/>
      <c r="T349" s="65"/>
      <c r="U349" s="65"/>
      <c r="V349" s="65">
        <f>12.6</f>
        <v>12.6</v>
      </c>
      <c r="W349" s="65"/>
      <c r="X349" s="65"/>
      <c r="Y349" s="65"/>
      <c r="Z349" s="65"/>
      <c r="AA349" s="78">
        <f>13</f>
        <v>13</v>
      </c>
      <c r="AB349" s="65"/>
      <c r="AC349" s="65"/>
      <c r="AD349" s="65"/>
      <c r="AE349" s="65"/>
      <c r="AF349" s="78">
        <f>13.4</f>
        <v>13.4</v>
      </c>
      <c r="AG349" s="65"/>
      <c r="AH349" s="65"/>
      <c r="AI349" s="65"/>
      <c r="AJ349" s="65"/>
      <c r="AK349" s="65"/>
      <c r="AL349" s="65"/>
      <c r="AM349" s="26"/>
      <c r="AN349" s="26"/>
      <c r="AO349" s="26"/>
      <c r="AP349" s="34">
        <f>13.8</f>
        <v>13.8</v>
      </c>
      <c r="AQ349" s="26"/>
      <c r="AR349" s="26"/>
      <c r="AS349" s="26"/>
      <c r="AT349" s="26"/>
      <c r="AU349" s="26"/>
      <c r="AV349" s="26"/>
      <c r="AW349" s="26"/>
      <c r="AX349" s="26"/>
      <c r="AY349" s="26"/>
      <c r="AZ349" s="32">
        <f>13.8</f>
        <v>13.8</v>
      </c>
    </row>
    <row r="350" spans="1:52" ht="13" customHeight="1">
      <c r="A350" s="24" t="s">
        <v>309</v>
      </c>
      <c r="B350" s="24" t="s">
        <v>310</v>
      </c>
      <c r="C350" s="73"/>
      <c r="D350" s="39" t="s">
        <v>311</v>
      </c>
      <c r="E350" s="25" t="s">
        <v>257</v>
      </c>
      <c r="F350" s="25" t="s">
        <v>264</v>
      </c>
      <c r="G350" s="25" t="s">
        <v>259</v>
      </c>
      <c r="H350" s="38"/>
      <c r="I350" s="177" t="s">
        <v>338</v>
      </c>
      <c r="J350" s="202" t="s">
        <v>321</v>
      </c>
      <c r="K350" s="215">
        <f>1</f>
        <v>1</v>
      </c>
      <c r="L350" s="64">
        <f>0.9</f>
        <v>0.9</v>
      </c>
      <c r="M350" s="65">
        <f>1</f>
        <v>1</v>
      </c>
      <c r="N350" s="65"/>
      <c r="O350" s="65"/>
      <c r="P350" s="65"/>
      <c r="Q350" s="65">
        <f>1</f>
        <v>1</v>
      </c>
      <c r="R350" s="65"/>
      <c r="S350" s="65"/>
      <c r="T350" s="65"/>
      <c r="U350" s="65"/>
      <c r="V350" s="65">
        <f>1.1</f>
        <v>1.1000000000000001</v>
      </c>
      <c r="W350" s="65"/>
      <c r="X350" s="65"/>
      <c r="Y350" s="65"/>
      <c r="Z350" s="65"/>
      <c r="AA350" s="78">
        <f>1.2</f>
        <v>1.2</v>
      </c>
      <c r="AB350" s="65"/>
      <c r="AC350" s="65"/>
      <c r="AD350" s="65"/>
      <c r="AE350" s="65"/>
      <c r="AF350" s="78">
        <f>1.2</f>
        <v>1.2</v>
      </c>
      <c r="AG350" s="65"/>
      <c r="AH350" s="65"/>
      <c r="AI350" s="65"/>
      <c r="AJ350" s="65"/>
      <c r="AK350" s="65"/>
      <c r="AL350" s="65"/>
      <c r="AM350" s="26"/>
      <c r="AN350" s="26"/>
      <c r="AO350" s="26"/>
      <c r="AP350" s="34">
        <f>1.3</f>
        <v>1.3</v>
      </c>
      <c r="AQ350" s="26"/>
      <c r="AR350" s="26"/>
      <c r="AS350" s="26"/>
      <c r="AT350" s="26"/>
      <c r="AU350" s="26"/>
      <c r="AV350" s="26"/>
      <c r="AW350" s="26"/>
      <c r="AX350" s="26"/>
      <c r="AY350" s="26"/>
      <c r="AZ350" s="32">
        <f>1.4</f>
        <v>1.4</v>
      </c>
    </row>
    <row r="351" spans="1:52" ht="13" customHeight="1">
      <c r="A351" s="24" t="s">
        <v>309</v>
      </c>
      <c r="B351" s="24" t="s">
        <v>310</v>
      </c>
      <c r="C351" s="73"/>
      <c r="D351" s="39" t="s">
        <v>311</v>
      </c>
      <c r="E351" s="25" t="s">
        <v>312</v>
      </c>
      <c r="F351" s="25" t="s">
        <v>264</v>
      </c>
      <c r="G351" s="25" t="s">
        <v>265</v>
      </c>
      <c r="H351" s="38"/>
      <c r="I351" s="177" t="s">
        <v>338</v>
      </c>
      <c r="J351" s="202" t="s">
        <v>321</v>
      </c>
      <c r="K351" s="215">
        <f>1</f>
        <v>1</v>
      </c>
      <c r="L351" s="64">
        <f>0.9</f>
        <v>0.9</v>
      </c>
      <c r="M351" s="65">
        <f>1</f>
        <v>1</v>
      </c>
      <c r="N351" s="65"/>
      <c r="O351" s="65"/>
      <c r="P351" s="65"/>
      <c r="Q351" s="65">
        <f>1</f>
        <v>1</v>
      </c>
      <c r="R351" s="65"/>
      <c r="S351" s="65"/>
      <c r="T351" s="65"/>
      <c r="U351" s="65"/>
      <c r="V351" s="65">
        <f>1.1</f>
        <v>1.1000000000000001</v>
      </c>
      <c r="W351" s="65"/>
      <c r="X351" s="65"/>
      <c r="Y351" s="65"/>
      <c r="Z351" s="65"/>
      <c r="AA351" s="78">
        <f>1.2</f>
        <v>1.2</v>
      </c>
      <c r="AB351" s="65"/>
      <c r="AC351" s="65"/>
      <c r="AD351" s="65"/>
      <c r="AE351" s="65"/>
      <c r="AF351" s="78">
        <f>1.2</f>
        <v>1.2</v>
      </c>
      <c r="AG351" s="65"/>
      <c r="AH351" s="65"/>
      <c r="AI351" s="65"/>
      <c r="AJ351" s="65"/>
      <c r="AK351" s="65"/>
      <c r="AL351" s="65"/>
      <c r="AM351" s="26"/>
      <c r="AN351" s="26"/>
      <c r="AO351" s="26"/>
      <c r="AP351" s="34">
        <f>1.3</f>
        <v>1.3</v>
      </c>
      <c r="AQ351" s="26"/>
      <c r="AR351" s="26"/>
      <c r="AS351" s="26"/>
      <c r="AT351" s="26"/>
      <c r="AU351" s="26"/>
      <c r="AV351" s="26"/>
      <c r="AW351" s="26"/>
      <c r="AX351" s="26"/>
      <c r="AY351" s="26"/>
      <c r="AZ351" s="32">
        <f>1.3</f>
        <v>1.3</v>
      </c>
    </row>
    <row r="352" spans="1:52" ht="13" customHeight="1">
      <c r="A352" s="24" t="s">
        <v>309</v>
      </c>
      <c r="B352" s="24" t="s">
        <v>310</v>
      </c>
      <c r="C352" s="73"/>
      <c r="D352" s="39" t="s">
        <v>311</v>
      </c>
      <c r="E352" s="25" t="s">
        <v>257</v>
      </c>
      <c r="F352" s="25" t="s">
        <v>264</v>
      </c>
      <c r="G352" s="25" t="s">
        <v>259</v>
      </c>
      <c r="H352" s="38"/>
      <c r="I352" s="177" t="s">
        <v>339</v>
      </c>
      <c r="J352" s="202" t="s">
        <v>321</v>
      </c>
      <c r="K352" s="134">
        <f>0.6</f>
        <v>0.6</v>
      </c>
      <c r="L352" s="64">
        <f>0.5</f>
        <v>0.5</v>
      </c>
      <c r="M352" s="65">
        <f>0.6</f>
        <v>0.6</v>
      </c>
      <c r="N352" s="65"/>
      <c r="O352" s="65"/>
      <c r="P352" s="65"/>
      <c r="Q352" s="65">
        <f>0.6</f>
        <v>0.6</v>
      </c>
      <c r="R352" s="65"/>
      <c r="S352" s="65"/>
      <c r="T352" s="65"/>
      <c r="U352" s="65"/>
      <c r="V352" s="65">
        <f>0.6</f>
        <v>0.6</v>
      </c>
      <c r="W352" s="65"/>
      <c r="X352" s="65"/>
      <c r="Y352" s="65"/>
      <c r="Z352" s="65"/>
      <c r="AA352" s="78">
        <f>0.6</f>
        <v>0.6</v>
      </c>
      <c r="AB352" s="65"/>
      <c r="AC352" s="65"/>
      <c r="AD352" s="65"/>
      <c r="AE352" s="65"/>
      <c r="AF352" s="78">
        <f>0.7</f>
        <v>0.7</v>
      </c>
      <c r="AG352" s="65"/>
      <c r="AH352" s="65"/>
      <c r="AI352" s="65"/>
      <c r="AJ352" s="65"/>
      <c r="AK352" s="65"/>
      <c r="AL352" s="65"/>
      <c r="AM352" s="26"/>
      <c r="AN352" s="26"/>
      <c r="AO352" s="26"/>
      <c r="AP352" s="34">
        <f>0.7</f>
        <v>0.7</v>
      </c>
      <c r="AQ352" s="26"/>
      <c r="AR352" s="26"/>
      <c r="AS352" s="26"/>
      <c r="AT352" s="26"/>
      <c r="AU352" s="26"/>
      <c r="AV352" s="26"/>
      <c r="AW352" s="26"/>
      <c r="AX352" s="26"/>
      <c r="AY352" s="26"/>
      <c r="AZ352" s="32">
        <f>0.7</f>
        <v>0.7</v>
      </c>
    </row>
    <row r="353" spans="1:52" ht="13" customHeight="1">
      <c r="A353" s="24" t="s">
        <v>309</v>
      </c>
      <c r="B353" s="24" t="s">
        <v>310</v>
      </c>
      <c r="C353" s="73"/>
      <c r="D353" s="39" t="s">
        <v>311</v>
      </c>
      <c r="E353" s="25" t="s">
        <v>312</v>
      </c>
      <c r="F353" s="25" t="s">
        <v>264</v>
      </c>
      <c r="G353" s="25" t="s">
        <v>265</v>
      </c>
      <c r="H353" s="38"/>
      <c r="I353" s="177" t="s">
        <v>339</v>
      </c>
      <c r="J353" s="202" t="s">
        <v>321</v>
      </c>
      <c r="K353" s="134">
        <f>0.6</f>
        <v>0.6</v>
      </c>
      <c r="L353" s="64">
        <f>0.5</f>
        <v>0.5</v>
      </c>
      <c r="M353" s="65">
        <f>0.6</f>
        <v>0.6</v>
      </c>
      <c r="N353" s="65"/>
      <c r="O353" s="65"/>
      <c r="P353" s="65"/>
      <c r="Q353" s="65">
        <f>0.6</f>
        <v>0.6</v>
      </c>
      <c r="R353" s="65"/>
      <c r="S353" s="65"/>
      <c r="T353" s="65"/>
      <c r="U353" s="65"/>
      <c r="V353" s="65">
        <f>0.6</f>
        <v>0.6</v>
      </c>
      <c r="W353" s="65"/>
      <c r="X353" s="65"/>
      <c r="Y353" s="65"/>
      <c r="Z353" s="65"/>
      <c r="AA353" s="78">
        <f>0.6</f>
        <v>0.6</v>
      </c>
      <c r="AB353" s="65"/>
      <c r="AC353" s="65"/>
      <c r="AD353" s="65"/>
      <c r="AE353" s="65"/>
      <c r="AF353" s="78">
        <f>0.6</f>
        <v>0.6</v>
      </c>
      <c r="AG353" s="65"/>
      <c r="AH353" s="65"/>
      <c r="AI353" s="65"/>
      <c r="AJ353" s="65"/>
      <c r="AK353" s="65"/>
      <c r="AL353" s="65"/>
      <c r="AM353" s="26"/>
      <c r="AN353" s="26"/>
      <c r="AO353" s="26"/>
      <c r="AP353" s="34">
        <f>0.7</f>
        <v>0.7</v>
      </c>
      <c r="AQ353" s="26"/>
      <c r="AR353" s="26"/>
      <c r="AS353" s="26"/>
      <c r="AT353" s="26"/>
      <c r="AU353" s="26"/>
      <c r="AV353" s="26"/>
      <c r="AW353" s="26"/>
      <c r="AX353" s="26"/>
      <c r="AY353" s="26"/>
      <c r="AZ353" s="32">
        <f>0.7</f>
        <v>0.7</v>
      </c>
    </row>
    <row r="354" spans="1:52" ht="13" customHeight="1">
      <c r="A354" s="24" t="s">
        <v>309</v>
      </c>
      <c r="B354" s="24" t="s">
        <v>310</v>
      </c>
      <c r="C354" s="59"/>
      <c r="D354" s="39" t="s">
        <v>311</v>
      </c>
      <c r="E354" s="25" t="s">
        <v>257</v>
      </c>
      <c r="F354" s="25" t="s">
        <v>264</v>
      </c>
      <c r="G354" s="25" t="s">
        <v>259</v>
      </c>
      <c r="H354" s="38"/>
      <c r="I354" s="210" t="s">
        <v>340</v>
      </c>
      <c r="J354" s="202" t="s">
        <v>267</v>
      </c>
      <c r="K354" s="134">
        <f>143.3</f>
        <v>143.30000000000001</v>
      </c>
      <c r="L354" s="64">
        <f>137.5</f>
        <v>137.5</v>
      </c>
      <c r="M354" s="65">
        <f>142.4</f>
        <v>142.4</v>
      </c>
      <c r="N354" s="65"/>
      <c r="O354" s="65"/>
      <c r="P354" s="65"/>
      <c r="Q354" s="65">
        <f>145.5</f>
        <v>145.5</v>
      </c>
      <c r="R354" s="65"/>
      <c r="S354" s="65"/>
      <c r="T354" s="65"/>
      <c r="U354" s="65"/>
      <c r="V354" s="65">
        <f>149.2</f>
        <v>149.19999999999999</v>
      </c>
      <c r="W354" s="65"/>
      <c r="X354" s="65"/>
      <c r="Y354" s="65"/>
      <c r="Z354" s="65"/>
      <c r="AA354" s="65">
        <f>162.1</f>
        <v>162.1</v>
      </c>
      <c r="AB354" s="65"/>
      <c r="AC354" s="65"/>
      <c r="AD354" s="65"/>
      <c r="AE354" s="65"/>
      <c r="AF354" s="65">
        <f>165</f>
        <v>165</v>
      </c>
      <c r="AG354" s="65"/>
      <c r="AH354" s="65"/>
      <c r="AI354" s="65"/>
      <c r="AJ354" s="65"/>
      <c r="AK354" s="65"/>
      <c r="AL354" s="65"/>
      <c r="AM354" s="26"/>
      <c r="AN354" s="26"/>
      <c r="AO354" s="26"/>
      <c r="AP354" s="34">
        <f>169</f>
        <v>169</v>
      </c>
      <c r="AQ354" s="26"/>
      <c r="AR354" s="26"/>
      <c r="AS354" s="26"/>
      <c r="AT354" s="26"/>
      <c r="AU354" s="26"/>
      <c r="AV354" s="26"/>
      <c r="AW354" s="26"/>
      <c r="AX354" s="26"/>
      <c r="AY354" s="26"/>
      <c r="AZ354" s="32">
        <f>158</f>
        <v>158</v>
      </c>
    </row>
    <row r="355" spans="1:52" ht="13" customHeight="1">
      <c r="A355" s="24" t="s">
        <v>309</v>
      </c>
      <c r="B355" s="24" t="s">
        <v>310</v>
      </c>
      <c r="C355" s="73"/>
      <c r="D355" s="39" t="s">
        <v>311</v>
      </c>
      <c r="E355" s="76" t="s">
        <v>312</v>
      </c>
      <c r="F355" s="76" t="s">
        <v>264</v>
      </c>
      <c r="G355" s="25" t="s">
        <v>265</v>
      </c>
      <c r="H355" s="38"/>
      <c r="I355" s="210" t="s">
        <v>340</v>
      </c>
      <c r="J355" s="202" t="s">
        <v>267</v>
      </c>
      <c r="K355" s="134">
        <f>143.3</f>
        <v>143.30000000000001</v>
      </c>
      <c r="L355" s="64">
        <f>137.5</f>
        <v>137.5</v>
      </c>
      <c r="M355" s="65">
        <f>142.4</f>
        <v>142.4</v>
      </c>
      <c r="N355" s="65"/>
      <c r="O355" s="65"/>
      <c r="P355" s="65"/>
      <c r="Q355" s="65">
        <f>145.5</f>
        <v>145.5</v>
      </c>
      <c r="R355" s="65"/>
      <c r="S355" s="65"/>
      <c r="T355" s="65"/>
      <c r="U355" s="65"/>
      <c r="V355" s="65">
        <f>146.7</f>
        <v>146.69999999999999</v>
      </c>
      <c r="W355" s="65"/>
      <c r="X355" s="65"/>
      <c r="Y355" s="65"/>
      <c r="Z355" s="65"/>
      <c r="AA355" s="65">
        <f>145.6</f>
        <v>145.6</v>
      </c>
      <c r="AB355" s="65"/>
      <c r="AC355" s="65"/>
      <c r="AD355" s="65"/>
      <c r="AE355" s="65"/>
      <c r="AF355" s="65">
        <f>133</f>
        <v>133</v>
      </c>
      <c r="AG355" s="65"/>
      <c r="AH355" s="65"/>
      <c r="AI355" s="65"/>
      <c r="AJ355" s="65"/>
      <c r="AK355" s="65"/>
      <c r="AL355" s="65"/>
      <c r="AM355" s="26"/>
      <c r="AN355" s="26"/>
      <c r="AO355" s="26"/>
      <c r="AP355" s="26">
        <f>107.3</f>
        <v>107.3</v>
      </c>
      <c r="AQ355" s="26"/>
      <c r="AR355" s="26"/>
      <c r="AS355" s="26"/>
      <c r="AT355" s="26"/>
      <c r="AU355" s="26"/>
      <c r="AV355" s="26"/>
      <c r="AW355" s="26"/>
      <c r="AX355" s="26"/>
      <c r="AY355" s="26"/>
      <c r="AZ355" s="32">
        <f>70.5</f>
        <v>70.5</v>
      </c>
    </row>
    <row r="356" spans="1:52" ht="13" customHeight="1">
      <c r="A356" s="24" t="s">
        <v>309</v>
      </c>
      <c r="B356" s="24" t="s">
        <v>310</v>
      </c>
      <c r="C356" s="59"/>
      <c r="D356" s="39" t="s">
        <v>311</v>
      </c>
      <c r="E356" s="25" t="s">
        <v>257</v>
      </c>
      <c r="F356" s="25" t="s">
        <v>264</v>
      </c>
      <c r="G356" s="25" t="s">
        <v>259</v>
      </c>
      <c r="H356" s="38"/>
      <c r="I356" s="198" t="s">
        <v>341</v>
      </c>
      <c r="J356" s="199" t="s">
        <v>141</v>
      </c>
      <c r="K356" s="134">
        <f>58.3</f>
        <v>58.3</v>
      </c>
      <c r="L356" s="64">
        <f>59.2</f>
        <v>59.2</v>
      </c>
      <c r="M356" s="65">
        <f>58.4</f>
        <v>58.4</v>
      </c>
      <c r="N356" s="65"/>
      <c r="O356" s="65"/>
      <c r="P356" s="65"/>
      <c r="Q356" s="65">
        <f>105.6</f>
        <v>105.6</v>
      </c>
      <c r="R356" s="65"/>
      <c r="S356" s="65"/>
      <c r="T356" s="65"/>
      <c r="U356" s="65"/>
      <c r="V356" s="65">
        <f>111.1</f>
        <v>111.1</v>
      </c>
      <c r="W356" s="65"/>
      <c r="X356" s="65"/>
      <c r="Y356" s="65"/>
      <c r="Z356" s="65"/>
      <c r="AA356" s="65">
        <f>122.5</f>
        <v>122.5</v>
      </c>
      <c r="AB356" s="65"/>
      <c r="AC356" s="65"/>
      <c r="AD356" s="65"/>
      <c r="AE356" s="65"/>
      <c r="AF356" s="65">
        <f>126.9</f>
        <v>126.9</v>
      </c>
      <c r="AG356" s="65"/>
      <c r="AH356" s="65"/>
      <c r="AI356" s="65"/>
      <c r="AJ356" s="65"/>
      <c r="AK356" s="65"/>
      <c r="AL356" s="65"/>
      <c r="AM356" s="26"/>
      <c r="AN356" s="26"/>
      <c r="AO356" s="26"/>
      <c r="AP356" s="26">
        <f>135.4</f>
        <v>135.4</v>
      </c>
      <c r="AQ356" s="26"/>
      <c r="AR356" s="26"/>
      <c r="AS356" s="26"/>
      <c r="AT356" s="26"/>
      <c r="AU356" s="26"/>
      <c r="AV356" s="26"/>
      <c r="AW356" s="26"/>
      <c r="AX356" s="26"/>
      <c r="AY356" s="26"/>
      <c r="AZ356" s="32">
        <f>122.8</f>
        <v>122.8</v>
      </c>
    </row>
    <row r="357" spans="1:52" ht="13" customHeight="1">
      <c r="A357" s="24" t="s">
        <v>309</v>
      </c>
      <c r="B357" s="24" t="s">
        <v>310</v>
      </c>
      <c r="C357" s="73"/>
      <c r="D357" s="39" t="s">
        <v>311</v>
      </c>
      <c r="E357" s="25" t="s">
        <v>312</v>
      </c>
      <c r="F357" s="25" t="s">
        <v>264</v>
      </c>
      <c r="G357" s="25" t="s">
        <v>265</v>
      </c>
      <c r="H357" s="38"/>
      <c r="I357" s="198" t="s">
        <v>341</v>
      </c>
      <c r="J357" s="199" t="s">
        <v>141</v>
      </c>
      <c r="K357" s="134">
        <f>58.3</f>
        <v>58.3</v>
      </c>
      <c r="L357" s="64">
        <f>59.2</f>
        <v>59.2</v>
      </c>
      <c r="M357" s="65">
        <f>58.4</f>
        <v>58.4</v>
      </c>
      <c r="N357" s="65"/>
      <c r="O357" s="65"/>
      <c r="P357" s="65"/>
      <c r="Q357" s="65">
        <f>105.6</f>
        <v>105.6</v>
      </c>
      <c r="R357" s="65"/>
      <c r="S357" s="65"/>
      <c r="T357" s="65"/>
      <c r="U357" s="65"/>
      <c r="V357" s="65">
        <f>109.1</f>
        <v>109.1</v>
      </c>
      <c r="W357" s="65"/>
      <c r="X357" s="65"/>
      <c r="Y357" s="65"/>
      <c r="Z357" s="65"/>
      <c r="AA357" s="65">
        <f>112.1</f>
        <v>112.1</v>
      </c>
      <c r="AB357" s="65"/>
      <c r="AC357" s="65"/>
      <c r="AD357" s="65"/>
      <c r="AE357" s="65"/>
      <c r="AF357" s="65">
        <f>107.3</f>
        <v>107.3</v>
      </c>
      <c r="AG357" s="65"/>
      <c r="AH357" s="65"/>
      <c r="AI357" s="65"/>
      <c r="AJ357" s="65"/>
      <c r="AK357" s="65"/>
      <c r="AL357" s="65"/>
      <c r="AM357" s="26"/>
      <c r="AN357" s="26"/>
      <c r="AO357" s="26"/>
      <c r="AP357" s="26">
        <f>94.6</f>
        <v>94.6</v>
      </c>
      <c r="AQ357" s="26"/>
      <c r="AR357" s="26"/>
      <c r="AS357" s="26"/>
      <c r="AT357" s="26"/>
      <c r="AU357" s="26"/>
      <c r="AV357" s="26"/>
      <c r="AW357" s="26"/>
      <c r="AX357" s="26"/>
      <c r="AY357" s="26"/>
      <c r="AZ357" s="32">
        <f>63.7</f>
        <v>63.7</v>
      </c>
    </row>
    <row r="358" spans="1:52" ht="13" customHeight="1">
      <c r="A358" s="24" t="s">
        <v>309</v>
      </c>
      <c r="B358" s="24" t="s">
        <v>310</v>
      </c>
      <c r="C358" s="59"/>
      <c r="D358" s="39" t="s">
        <v>311</v>
      </c>
      <c r="E358" s="25" t="s">
        <v>257</v>
      </c>
      <c r="F358" s="25" t="s">
        <v>264</v>
      </c>
      <c r="G358" s="25" t="s">
        <v>259</v>
      </c>
      <c r="H358" s="38"/>
      <c r="I358" s="206" t="s">
        <v>342</v>
      </c>
      <c r="J358" s="202" t="s">
        <v>343</v>
      </c>
      <c r="K358" s="134">
        <f>225.9</f>
        <v>225.9</v>
      </c>
      <c r="L358" s="64">
        <f>210.5</f>
        <v>210.5</v>
      </c>
      <c r="M358" s="65">
        <f>210.5</f>
        <v>210.5</v>
      </c>
      <c r="N358" s="65"/>
      <c r="O358" s="65"/>
      <c r="P358" s="65"/>
      <c r="Q358" s="65">
        <f>207.8</f>
        <v>207.8</v>
      </c>
      <c r="R358" s="65"/>
      <c r="S358" s="65"/>
      <c r="T358" s="65"/>
      <c r="U358" s="65"/>
      <c r="V358" s="65">
        <f>201.9</f>
        <v>201.9</v>
      </c>
      <c r="W358" s="65"/>
      <c r="X358" s="65"/>
      <c r="Y358" s="65"/>
      <c r="Z358" s="65"/>
      <c r="AA358" s="65">
        <f>196.8</f>
        <v>196.8</v>
      </c>
      <c r="AB358" s="65"/>
      <c r="AC358" s="65"/>
      <c r="AD358" s="65"/>
      <c r="AE358" s="65"/>
      <c r="AF358" s="65">
        <f>192.3</f>
        <v>192.3</v>
      </c>
      <c r="AG358" s="65"/>
      <c r="AH358" s="65"/>
      <c r="AI358" s="65"/>
      <c r="AJ358" s="65"/>
      <c r="AK358" s="65"/>
      <c r="AL358" s="65"/>
      <c r="AM358" s="26"/>
      <c r="AN358" s="26"/>
      <c r="AO358" s="26"/>
      <c r="AP358" s="26">
        <f>183</f>
        <v>183</v>
      </c>
      <c r="AQ358" s="26"/>
      <c r="AR358" s="26"/>
      <c r="AS358" s="26"/>
      <c r="AT358" s="26"/>
      <c r="AU358" s="26"/>
      <c r="AV358" s="26"/>
      <c r="AW358" s="26"/>
      <c r="AX358" s="26"/>
      <c r="AY358" s="26"/>
      <c r="AZ358" s="32">
        <f>173.8</f>
        <v>173.8</v>
      </c>
    </row>
    <row r="359" spans="1:52" ht="13" customHeight="1">
      <c r="A359" s="24" t="s">
        <v>309</v>
      </c>
      <c r="B359" s="24" t="s">
        <v>310</v>
      </c>
      <c r="C359" s="73"/>
      <c r="D359" s="39" t="s">
        <v>311</v>
      </c>
      <c r="E359" s="25" t="s">
        <v>312</v>
      </c>
      <c r="F359" s="25" t="s">
        <v>264</v>
      </c>
      <c r="G359" s="25" t="s">
        <v>265</v>
      </c>
      <c r="H359" s="38"/>
      <c r="I359" s="206" t="s">
        <v>342</v>
      </c>
      <c r="J359" s="202" t="s">
        <v>343</v>
      </c>
      <c r="K359" s="134">
        <f>225.9</f>
        <v>225.9</v>
      </c>
      <c r="L359" s="64">
        <f>210.5</f>
        <v>210.5</v>
      </c>
      <c r="M359" s="65">
        <f>210.5</f>
        <v>210.5</v>
      </c>
      <c r="N359" s="65"/>
      <c r="O359" s="65"/>
      <c r="P359" s="65"/>
      <c r="Q359" s="65">
        <f>207.8</f>
        <v>207.8</v>
      </c>
      <c r="R359" s="65"/>
      <c r="S359" s="65"/>
      <c r="T359" s="65"/>
      <c r="U359" s="65"/>
      <c r="V359" s="65">
        <f>201.9</f>
        <v>201.9</v>
      </c>
      <c r="W359" s="65"/>
      <c r="X359" s="65"/>
      <c r="Y359" s="65"/>
      <c r="Z359" s="65"/>
      <c r="AA359" s="65">
        <f>192.9</f>
        <v>192.9</v>
      </c>
      <c r="AB359" s="65"/>
      <c r="AC359" s="65"/>
      <c r="AD359" s="65"/>
      <c r="AE359" s="65"/>
      <c r="AF359" s="65">
        <f>182.8</f>
        <v>182.8</v>
      </c>
      <c r="AG359" s="65"/>
      <c r="AH359" s="65"/>
      <c r="AI359" s="65"/>
      <c r="AJ359" s="65"/>
      <c r="AK359" s="65"/>
      <c r="AL359" s="65"/>
      <c r="AM359" s="26"/>
      <c r="AN359" s="26"/>
      <c r="AO359" s="26"/>
      <c r="AP359" s="26">
        <f>164.9</f>
        <v>164.9</v>
      </c>
      <c r="AQ359" s="26"/>
      <c r="AR359" s="26"/>
      <c r="AS359" s="26"/>
      <c r="AT359" s="26"/>
      <c r="AU359" s="26"/>
      <c r="AV359" s="26"/>
      <c r="AW359" s="26"/>
      <c r="AX359" s="26"/>
      <c r="AY359" s="26"/>
      <c r="AZ359" s="32">
        <f>139.3</f>
        <v>139.30000000000001</v>
      </c>
    </row>
    <row r="360" spans="1:52" ht="13" customHeight="1">
      <c r="A360" s="24" t="s">
        <v>309</v>
      </c>
      <c r="B360" s="24" t="s">
        <v>310</v>
      </c>
      <c r="C360" s="59"/>
      <c r="D360" s="39" t="s">
        <v>311</v>
      </c>
      <c r="E360" s="25" t="s">
        <v>257</v>
      </c>
      <c r="F360" s="25" t="s">
        <v>264</v>
      </c>
      <c r="G360" s="25" t="s">
        <v>259</v>
      </c>
      <c r="H360" s="38"/>
      <c r="I360" s="198" t="s">
        <v>344</v>
      </c>
      <c r="J360" s="199" t="s">
        <v>141</v>
      </c>
      <c r="K360" s="134">
        <f>39.2</f>
        <v>39.200000000000003</v>
      </c>
      <c r="L360" s="68">
        <f>42</f>
        <v>42</v>
      </c>
      <c r="M360" s="65">
        <f>54.2</f>
        <v>54.2</v>
      </c>
      <c r="N360" s="65"/>
      <c r="O360" s="65"/>
      <c r="P360" s="65"/>
      <c r="Q360" s="65">
        <f>30.7</f>
        <v>30.7</v>
      </c>
      <c r="R360" s="65"/>
      <c r="S360" s="65"/>
      <c r="T360" s="65"/>
      <c r="U360" s="65"/>
      <c r="V360" s="65">
        <f>33.7</f>
        <v>33.700000000000003</v>
      </c>
      <c r="W360" s="65"/>
      <c r="X360" s="65"/>
      <c r="Y360" s="65"/>
      <c r="Z360" s="65"/>
      <c r="AA360" s="65">
        <f>38.9</f>
        <v>38.9</v>
      </c>
      <c r="AB360" s="65"/>
      <c r="AC360" s="65"/>
      <c r="AD360" s="65"/>
      <c r="AE360" s="65"/>
      <c r="AF360" s="65">
        <f>42.2</f>
        <v>42.2</v>
      </c>
      <c r="AG360" s="65"/>
      <c r="AH360" s="65"/>
      <c r="AI360" s="65"/>
      <c r="AJ360" s="65"/>
      <c r="AK360" s="65"/>
      <c r="AL360" s="65"/>
      <c r="AM360" s="26"/>
      <c r="AN360" s="26"/>
      <c r="AO360" s="26"/>
      <c r="AP360" s="26">
        <f>49.3</f>
        <v>49.3</v>
      </c>
      <c r="AQ360" s="26"/>
      <c r="AR360" s="26"/>
      <c r="AS360" s="26"/>
      <c r="AT360" s="26"/>
      <c r="AU360" s="26"/>
      <c r="AV360" s="26"/>
      <c r="AW360" s="26"/>
      <c r="AX360" s="26"/>
      <c r="AY360" s="26"/>
      <c r="AZ360" s="32">
        <f>53.2</f>
        <v>53.2</v>
      </c>
    </row>
    <row r="361" spans="1:52" ht="13" customHeight="1">
      <c r="A361" s="24" t="s">
        <v>309</v>
      </c>
      <c r="B361" s="24" t="s">
        <v>310</v>
      </c>
      <c r="C361" s="73"/>
      <c r="D361" s="39" t="s">
        <v>311</v>
      </c>
      <c r="E361" s="25" t="s">
        <v>312</v>
      </c>
      <c r="F361" s="25" t="s">
        <v>264</v>
      </c>
      <c r="G361" s="25" t="s">
        <v>265</v>
      </c>
      <c r="H361" s="38"/>
      <c r="I361" s="198" t="s">
        <v>344</v>
      </c>
      <c r="J361" s="199" t="s">
        <v>141</v>
      </c>
      <c r="K361" s="134">
        <f>39.2</f>
        <v>39.200000000000003</v>
      </c>
      <c r="L361" s="68">
        <f>42</f>
        <v>42</v>
      </c>
      <c r="M361" s="65">
        <f>54.2</f>
        <v>54.2</v>
      </c>
      <c r="N361" s="65"/>
      <c r="O361" s="65"/>
      <c r="P361" s="65"/>
      <c r="Q361" s="65">
        <f>30.7</f>
        <v>30.7</v>
      </c>
      <c r="R361" s="65"/>
      <c r="S361" s="65"/>
      <c r="T361" s="65"/>
      <c r="U361" s="65"/>
      <c r="V361" s="65">
        <f>34.8</f>
        <v>34.799999999999997</v>
      </c>
      <c r="W361" s="65"/>
      <c r="X361" s="65"/>
      <c r="Y361" s="65"/>
      <c r="Z361" s="65"/>
      <c r="AA361" s="65">
        <f>44.2</f>
        <v>44.2</v>
      </c>
      <c r="AB361" s="65"/>
      <c r="AC361" s="65"/>
      <c r="AD361" s="65"/>
      <c r="AE361" s="65"/>
      <c r="AF361" s="65">
        <f>52.2</f>
        <v>52.2</v>
      </c>
      <c r="AG361" s="65"/>
      <c r="AH361" s="65"/>
      <c r="AI361" s="65"/>
      <c r="AJ361" s="65"/>
      <c r="AK361" s="65"/>
      <c r="AL361" s="65"/>
      <c r="AM361" s="26"/>
      <c r="AN361" s="26"/>
      <c r="AO361" s="26"/>
      <c r="AP361" s="26">
        <f>69.9</f>
        <v>69.900000000000006</v>
      </c>
      <c r="AQ361" s="26"/>
      <c r="AR361" s="26"/>
      <c r="AS361" s="26"/>
      <c r="AT361" s="26"/>
      <c r="AU361" s="26"/>
      <c r="AV361" s="26"/>
      <c r="AW361" s="26"/>
      <c r="AX361" s="26"/>
      <c r="AY361" s="26"/>
      <c r="AZ361" s="84">
        <f>83</f>
        <v>83</v>
      </c>
    </row>
    <row r="362" spans="1:52" ht="13" customHeight="1">
      <c r="A362" s="24" t="s">
        <v>309</v>
      </c>
      <c r="B362" s="24" t="s">
        <v>310</v>
      </c>
      <c r="C362" s="59"/>
      <c r="D362" s="39" t="s">
        <v>311</v>
      </c>
      <c r="E362" s="25" t="s">
        <v>257</v>
      </c>
      <c r="F362" s="25" t="s">
        <v>264</v>
      </c>
      <c r="G362" s="25" t="s">
        <v>259</v>
      </c>
      <c r="H362" s="38"/>
      <c r="I362" s="206" t="s">
        <v>345</v>
      </c>
      <c r="J362" s="202" t="s">
        <v>346</v>
      </c>
      <c r="K362" s="134">
        <f>62.3</f>
        <v>62.3</v>
      </c>
      <c r="L362" s="64">
        <f>56.8</f>
        <v>56.8</v>
      </c>
      <c r="M362" s="65">
        <f>46.9</f>
        <v>46.9</v>
      </c>
      <c r="N362" s="65"/>
      <c r="O362" s="65"/>
      <c r="P362" s="65"/>
      <c r="Q362" s="65">
        <f>45.7</f>
        <v>45.7</v>
      </c>
      <c r="R362" s="65"/>
      <c r="S362" s="65"/>
      <c r="T362" s="65"/>
      <c r="U362" s="65"/>
      <c r="V362" s="65">
        <f>44.1</f>
        <v>44.1</v>
      </c>
      <c r="W362" s="65"/>
      <c r="X362" s="65"/>
      <c r="Y362" s="65"/>
      <c r="Z362" s="65"/>
      <c r="AA362" s="65">
        <f>42.9</f>
        <v>42.9</v>
      </c>
      <c r="AB362" s="65"/>
      <c r="AC362" s="65"/>
      <c r="AD362" s="65"/>
      <c r="AE362" s="65"/>
      <c r="AF362" s="65">
        <f>41.9</f>
        <v>41.9</v>
      </c>
      <c r="AG362" s="65"/>
      <c r="AH362" s="65"/>
      <c r="AI362" s="65"/>
      <c r="AJ362" s="65"/>
      <c r="AK362" s="65"/>
      <c r="AL362" s="65"/>
      <c r="AM362" s="26"/>
      <c r="AN362" s="26"/>
      <c r="AO362" s="26"/>
      <c r="AP362" s="26">
        <f>39.7</f>
        <v>39.700000000000003</v>
      </c>
      <c r="AQ362" s="26"/>
      <c r="AR362" s="26"/>
      <c r="AS362" s="26"/>
      <c r="AT362" s="26"/>
      <c r="AU362" s="26"/>
      <c r="AV362" s="26"/>
      <c r="AW362" s="26"/>
      <c r="AX362" s="26"/>
      <c r="AY362" s="26"/>
      <c r="AZ362" s="32">
        <f>37.5</f>
        <v>37.5</v>
      </c>
    </row>
    <row r="363" spans="1:52" ht="13" customHeight="1">
      <c r="A363" s="24" t="s">
        <v>309</v>
      </c>
      <c r="B363" s="24" t="s">
        <v>310</v>
      </c>
      <c r="C363" s="73"/>
      <c r="D363" s="39" t="s">
        <v>311</v>
      </c>
      <c r="E363" s="25" t="s">
        <v>312</v>
      </c>
      <c r="F363" s="25" t="s">
        <v>264</v>
      </c>
      <c r="G363" s="25" t="s">
        <v>265</v>
      </c>
      <c r="H363" s="38"/>
      <c r="I363" s="206" t="s">
        <v>345</v>
      </c>
      <c r="J363" s="202" t="s">
        <v>346</v>
      </c>
      <c r="K363" s="134">
        <f>62.3</f>
        <v>62.3</v>
      </c>
      <c r="L363" s="64">
        <f>56.8</f>
        <v>56.8</v>
      </c>
      <c r="M363" s="65">
        <f>46.9</f>
        <v>46.9</v>
      </c>
      <c r="N363" s="65"/>
      <c r="O363" s="65"/>
      <c r="P363" s="65"/>
      <c r="Q363" s="65">
        <f>45.7</f>
        <v>45.7</v>
      </c>
      <c r="R363" s="65"/>
      <c r="S363" s="65"/>
      <c r="T363" s="65"/>
      <c r="U363" s="65"/>
      <c r="V363" s="65">
        <f>44.1</f>
        <v>44.1</v>
      </c>
      <c r="W363" s="65"/>
      <c r="X363" s="65"/>
      <c r="Y363" s="65"/>
      <c r="Z363" s="65"/>
      <c r="AA363" s="65">
        <f>42.1</f>
        <v>42.1</v>
      </c>
      <c r="AB363" s="65"/>
      <c r="AC363" s="65"/>
      <c r="AD363" s="65"/>
      <c r="AE363" s="65"/>
      <c r="AF363" s="65">
        <f>39.8</f>
        <v>39.799999999999997</v>
      </c>
      <c r="AG363" s="65"/>
      <c r="AH363" s="65"/>
      <c r="AI363" s="65"/>
      <c r="AJ363" s="65"/>
      <c r="AK363" s="65"/>
      <c r="AL363" s="65"/>
      <c r="AM363" s="26"/>
      <c r="AN363" s="26"/>
      <c r="AO363" s="26"/>
      <c r="AP363" s="26">
        <f>35.7</f>
        <v>35.700000000000003</v>
      </c>
      <c r="AQ363" s="26"/>
      <c r="AR363" s="26"/>
      <c r="AS363" s="26"/>
      <c r="AT363" s="26"/>
      <c r="AU363" s="26"/>
      <c r="AV363" s="26"/>
      <c r="AW363" s="26"/>
      <c r="AX363" s="26"/>
      <c r="AY363" s="26"/>
      <c r="AZ363" s="84">
        <f>30</f>
        <v>30</v>
      </c>
    </row>
    <row r="364" spans="1:52" ht="13" customHeight="1">
      <c r="A364" s="24" t="s">
        <v>309</v>
      </c>
      <c r="B364" s="24" t="s">
        <v>310</v>
      </c>
      <c r="C364" s="59"/>
      <c r="D364" s="39" t="s">
        <v>311</v>
      </c>
      <c r="E364" s="25" t="s">
        <v>257</v>
      </c>
      <c r="F364" s="25" t="s">
        <v>264</v>
      </c>
      <c r="G364" s="25" t="s">
        <v>259</v>
      </c>
      <c r="H364" s="38"/>
      <c r="I364" s="198" t="s">
        <v>347</v>
      </c>
      <c r="J364" s="199" t="s">
        <v>141</v>
      </c>
      <c r="K364" s="134">
        <f>8.1</f>
        <v>8.1</v>
      </c>
      <c r="L364" s="68">
        <f>8</f>
        <v>8</v>
      </c>
      <c r="M364" s="65">
        <f>7.9</f>
        <v>7.9</v>
      </c>
      <c r="N364" s="65"/>
      <c r="O364" s="65"/>
      <c r="P364" s="65"/>
      <c r="Q364" s="65">
        <f>7.6</f>
        <v>7.6</v>
      </c>
      <c r="R364" s="65"/>
      <c r="S364" s="65"/>
      <c r="T364" s="65"/>
      <c r="U364" s="65"/>
      <c r="V364" s="65">
        <f>8.3</f>
        <v>8.3000000000000007</v>
      </c>
      <c r="W364" s="65"/>
      <c r="X364" s="65"/>
      <c r="Y364" s="65"/>
      <c r="Z364" s="65"/>
      <c r="AA364" s="65">
        <f>9.6</f>
        <v>9.6</v>
      </c>
      <c r="AB364" s="65"/>
      <c r="AC364" s="65"/>
      <c r="AD364" s="65"/>
      <c r="AE364" s="65"/>
      <c r="AF364" s="65">
        <f>10.4</f>
        <v>10.4</v>
      </c>
      <c r="AG364" s="65"/>
      <c r="AH364" s="65"/>
      <c r="AI364" s="65"/>
      <c r="AJ364" s="65"/>
      <c r="AK364" s="65"/>
      <c r="AL364" s="65"/>
      <c r="AM364" s="26"/>
      <c r="AN364" s="26"/>
      <c r="AO364" s="26"/>
      <c r="AP364" s="26">
        <f>12.2</f>
        <v>12.2</v>
      </c>
      <c r="AQ364" s="26"/>
      <c r="AR364" s="26"/>
      <c r="AS364" s="26"/>
      <c r="AT364" s="26"/>
      <c r="AU364" s="26"/>
      <c r="AV364" s="26"/>
      <c r="AW364" s="26"/>
      <c r="AX364" s="26"/>
      <c r="AY364" s="26"/>
      <c r="AZ364" s="84">
        <f>13.1</f>
        <v>13.1</v>
      </c>
    </row>
    <row r="365" spans="1:52" ht="13" customHeight="1">
      <c r="A365" s="24" t="s">
        <v>309</v>
      </c>
      <c r="B365" s="24" t="s">
        <v>310</v>
      </c>
      <c r="C365" s="73"/>
      <c r="D365" s="39" t="s">
        <v>311</v>
      </c>
      <c r="E365" s="25" t="s">
        <v>312</v>
      </c>
      <c r="F365" s="25" t="s">
        <v>264</v>
      </c>
      <c r="G365" s="25" t="s">
        <v>265</v>
      </c>
      <c r="H365" s="38"/>
      <c r="I365" s="198" t="s">
        <v>347</v>
      </c>
      <c r="J365" s="199" t="s">
        <v>141</v>
      </c>
      <c r="K365" s="134">
        <f>8.1</f>
        <v>8.1</v>
      </c>
      <c r="L365" s="68">
        <f>8</f>
        <v>8</v>
      </c>
      <c r="M365" s="65">
        <f>7.9</f>
        <v>7.9</v>
      </c>
      <c r="N365" s="65"/>
      <c r="O365" s="65"/>
      <c r="P365" s="65"/>
      <c r="Q365" s="65">
        <f>7.6</f>
        <v>7.6</v>
      </c>
      <c r="R365" s="65"/>
      <c r="S365" s="65"/>
      <c r="T365" s="65"/>
      <c r="U365" s="65"/>
      <c r="V365" s="65">
        <f>8.6</f>
        <v>8.6</v>
      </c>
      <c r="W365" s="65"/>
      <c r="X365" s="65"/>
      <c r="Y365" s="65"/>
      <c r="Z365" s="65"/>
      <c r="AA365" s="65">
        <f>10.9</f>
        <v>10.9</v>
      </c>
      <c r="AB365" s="65"/>
      <c r="AC365" s="65"/>
      <c r="AD365" s="65"/>
      <c r="AE365" s="65"/>
      <c r="AF365" s="65">
        <f>12.9</f>
        <v>12.9</v>
      </c>
      <c r="AG365" s="65"/>
      <c r="AH365" s="65"/>
      <c r="AI365" s="65"/>
      <c r="AJ365" s="65"/>
      <c r="AK365" s="65"/>
      <c r="AL365" s="65"/>
      <c r="AM365" s="26"/>
      <c r="AN365" s="26"/>
      <c r="AO365" s="26"/>
      <c r="AP365" s="26">
        <f>17.3</f>
        <v>17.3</v>
      </c>
      <c r="AQ365" s="26"/>
      <c r="AR365" s="26"/>
      <c r="AS365" s="26"/>
      <c r="AT365" s="26"/>
      <c r="AU365" s="26"/>
      <c r="AV365" s="26"/>
      <c r="AW365" s="26"/>
      <c r="AX365" s="26"/>
      <c r="AY365" s="26"/>
      <c r="AZ365" s="84">
        <f>20.5</f>
        <v>20.5</v>
      </c>
    </row>
    <row r="366" spans="1:52" ht="13" customHeight="1">
      <c r="A366" s="24" t="s">
        <v>309</v>
      </c>
      <c r="B366" s="24" t="s">
        <v>310</v>
      </c>
      <c r="C366" s="59"/>
      <c r="D366" s="39" t="s">
        <v>311</v>
      </c>
      <c r="E366" s="25" t="s">
        <v>257</v>
      </c>
      <c r="F366" s="25" t="s">
        <v>264</v>
      </c>
      <c r="G366" s="25" t="s">
        <v>259</v>
      </c>
      <c r="H366" s="38"/>
      <c r="I366" s="206" t="s">
        <v>348</v>
      </c>
      <c r="J366" s="202" t="s">
        <v>349</v>
      </c>
      <c r="K366" s="134">
        <f>751.6</f>
        <v>751.6</v>
      </c>
      <c r="L366" s="64">
        <f>751.7</f>
        <v>751.7</v>
      </c>
      <c r="M366" s="65">
        <f>758.3</f>
        <v>758.3</v>
      </c>
      <c r="N366" s="65"/>
      <c r="O366" s="65"/>
      <c r="P366" s="65"/>
      <c r="Q366" s="65">
        <f>739.8</f>
        <v>739.8</v>
      </c>
      <c r="R366" s="65"/>
      <c r="S366" s="65"/>
      <c r="T366" s="65"/>
      <c r="U366" s="65"/>
      <c r="V366" s="65">
        <f>713.9</f>
        <v>713.9</v>
      </c>
      <c r="W366" s="65"/>
      <c r="X366" s="65"/>
      <c r="Y366" s="65"/>
      <c r="Z366" s="65"/>
      <c r="AA366" s="65">
        <f>695.4</f>
        <v>695.4</v>
      </c>
      <c r="AB366" s="65"/>
      <c r="AC366" s="65"/>
      <c r="AD366" s="65"/>
      <c r="AE366" s="65"/>
      <c r="AF366" s="65">
        <f>678.9</f>
        <v>678.9</v>
      </c>
      <c r="AG366" s="65"/>
      <c r="AH366" s="65"/>
      <c r="AI366" s="65"/>
      <c r="AJ366" s="65"/>
      <c r="AK366" s="65"/>
      <c r="AL366" s="65"/>
      <c r="AM366" s="26"/>
      <c r="AN366" s="26"/>
      <c r="AO366" s="26"/>
      <c r="AP366" s="26">
        <f>643.2</f>
        <v>643.20000000000005</v>
      </c>
      <c r="AQ366" s="26"/>
      <c r="AR366" s="26"/>
      <c r="AS366" s="26"/>
      <c r="AT366" s="26"/>
      <c r="AU366" s="26"/>
      <c r="AV366" s="26"/>
      <c r="AW366" s="26"/>
      <c r="AX366" s="26"/>
      <c r="AY366" s="26"/>
      <c r="AZ366" s="84">
        <f>607.5</f>
        <v>607.5</v>
      </c>
    </row>
    <row r="367" spans="1:52" ht="13" customHeight="1">
      <c r="A367" s="24" t="s">
        <v>309</v>
      </c>
      <c r="B367" s="24" t="s">
        <v>310</v>
      </c>
      <c r="C367" s="73"/>
      <c r="D367" s="39" t="s">
        <v>311</v>
      </c>
      <c r="E367" s="25" t="s">
        <v>312</v>
      </c>
      <c r="F367" s="25" t="s">
        <v>264</v>
      </c>
      <c r="G367" s="25" t="s">
        <v>265</v>
      </c>
      <c r="H367" s="38"/>
      <c r="I367" s="206" t="s">
        <v>348</v>
      </c>
      <c r="J367" s="202" t="s">
        <v>349</v>
      </c>
      <c r="K367" s="134">
        <f>751.6</f>
        <v>751.6</v>
      </c>
      <c r="L367" s="64">
        <f>751.7</f>
        <v>751.7</v>
      </c>
      <c r="M367" s="65">
        <f>758.3</f>
        <v>758.3</v>
      </c>
      <c r="N367" s="65"/>
      <c r="O367" s="65"/>
      <c r="P367" s="65"/>
      <c r="Q367" s="65">
        <f>739.8</f>
        <v>739.8</v>
      </c>
      <c r="R367" s="65"/>
      <c r="S367" s="65"/>
      <c r="T367" s="65"/>
      <c r="U367" s="65"/>
      <c r="V367" s="65">
        <f>713.9</f>
        <v>713.9</v>
      </c>
      <c r="W367" s="65"/>
      <c r="X367" s="65"/>
      <c r="Y367" s="65"/>
      <c r="Z367" s="65"/>
      <c r="AA367" s="65">
        <f>645.3</f>
        <v>645.29999999999995</v>
      </c>
      <c r="AB367" s="65"/>
      <c r="AC367" s="65"/>
      <c r="AD367" s="65"/>
      <c r="AE367" s="65"/>
      <c r="AF367" s="65">
        <f>583.6</f>
        <v>583.6</v>
      </c>
      <c r="AG367" s="65"/>
      <c r="AH367" s="65"/>
      <c r="AI367" s="65"/>
      <c r="AJ367" s="65"/>
      <c r="AK367" s="65"/>
      <c r="AL367" s="65"/>
      <c r="AM367" s="26"/>
      <c r="AN367" s="26"/>
      <c r="AO367" s="26"/>
      <c r="AP367" s="26">
        <v>487.8</v>
      </c>
      <c r="AQ367" s="26"/>
      <c r="AR367" s="26"/>
      <c r="AS367" s="26"/>
      <c r="AT367" s="26"/>
      <c r="AU367" s="26"/>
      <c r="AV367" s="26"/>
      <c r="AW367" s="26"/>
      <c r="AX367" s="26"/>
      <c r="AY367" s="26"/>
      <c r="AZ367" s="84">
        <f>386.9</f>
        <v>386.9</v>
      </c>
    </row>
    <row r="368" spans="1:52" ht="13" customHeight="1">
      <c r="A368" s="24" t="s">
        <v>309</v>
      </c>
      <c r="B368" s="24" t="s">
        <v>310</v>
      </c>
      <c r="C368" s="59"/>
      <c r="D368" s="39" t="s">
        <v>311</v>
      </c>
      <c r="E368" s="25" t="s">
        <v>257</v>
      </c>
      <c r="F368" s="25" t="s">
        <v>264</v>
      </c>
      <c r="G368" s="25" t="s">
        <v>259</v>
      </c>
      <c r="H368" s="38"/>
      <c r="I368" s="198" t="s">
        <v>102</v>
      </c>
      <c r="J368" s="199" t="s">
        <v>141</v>
      </c>
      <c r="K368" s="134">
        <f>51.2</f>
        <v>51.2</v>
      </c>
      <c r="L368" s="64">
        <f>52</f>
        <v>52</v>
      </c>
      <c r="M368" s="65">
        <f>53.8</f>
        <v>53.8</v>
      </c>
      <c r="N368" s="65"/>
      <c r="O368" s="65"/>
      <c r="P368" s="65"/>
      <c r="Q368" s="65">
        <f>55.1</f>
        <v>55.1</v>
      </c>
      <c r="R368" s="65"/>
      <c r="S368" s="65"/>
      <c r="T368" s="65"/>
      <c r="U368" s="65"/>
      <c r="V368" s="65">
        <f>58.3</f>
        <v>58.3</v>
      </c>
      <c r="W368" s="65"/>
      <c r="X368" s="65"/>
      <c r="Y368" s="65"/>
      <c r="Z368" s="65"/>
      <c r="AA368" s="78">
        <f>65</f>
        <v>65</v>
      </c>
      <c r="AB368" s="65"/>
      <c r="AC368" s="65"/>
      <c r="AD368" s="65"/>
      <c r="AE368" s="65"/>
      <c r="AF368" s="65">
        <f>67.6</f>
        <v>67.599999999999994</v>
      </c>
      <c r="AG368" s="65"/>
      <c r="AH368" s="65"/>
      <c r="AI368" s="65"/>
      <c r="AJ368" s="65"/>
      <c r="AK368" s="65"/>
      <c r="AL368" s="65"/>
      <c r="AM368" s="26"/>
      <c r="AN368" s="26"/>
      <c r="AO368" s="26"/>
      <c r="AP368" s="26">
        <f>72.6</f>
        <v>72.599999999999994</v>
      </c>
      <c r="AQ368" s="26"/>
      <c r="AR368" s="26"/>
      <c r="AS368" s="26"/>
      <c r="AT368" s="26"/>
      <c r="AU368" s="26"/>
      <c r="AV368" s="26"/>
      <c r="AW368" s="26"/>
      <c r="AX368" s="26"/>
      <c r="AY368" s="26"/>
      <c r="AZ368" s="84">
        <f>72.3</f>
        <v>72.3</v>
      </c>
    </row>
    <row r="369" spans="1:52" ht="13" customHeight="1">
      <c r="A369" s="24" t="s">
        <v>309</v>
      </c>
      <c r="B369" s="24" t="s">
        <v>310</v>
      </c>
      <c r="C369" s="73"/>
      <c r="D369" s="39" t="s">
        <v>311</v>
      </c>
      <c r="E369" s="25" t="s">
        <v>312</v>
      </c>
      <c r="F369" s="25" t="s">
        <v>264</v>
      </c>
      <c r="G369" s="25" t="s">
        <v>265</v>
      </c>
      <c r="H369" s="38"/>
      <c r="I369" s="198" t="s">
        <v>102</v>
      </c>
      <c r="J369" s="199" t="s">
        <v>141</v>
      </c>
      <c r="K369" s="134">
        <f>51.2</f>
        <v>51.2</v>
      </c>
      <c r="L369" s="64">
        <f>52</f>
        <v>52</v>
      </c>
      <c r="M369" s="65">
        <f>53.8</f>
        <v>53.8</v>
      </c>
      <c r="N369" s="65"/>
      <c r="O369" s="65"/>
      <c r="P369" s="65"/>
      <c r="Q369" s="65">
        <f>55.1</f>
        <v>55.1</v>
      </c>
      <c r="R369" s="65"/>
      <c r="S369" s="65"/>
      <c r="T369" s="65"/>
      <c r="U369" s="65"/>
      <c r="V369" s="65">
        <f>57.1</f>
        <v>57.1</v>
      </c>
      <c r="W369" s="65"/>
      <c r="X369" s="65"/>
      <c r="Y369" s="65"/>
      <c r="Z369" s="65"/>
      <c r="AA369" s="65">
        <f>58.9</f>
        <v>58.9</v>
      </c>
      <c r="AB369" s="65"/>
      <c r="AC369" s="65"/>
      <c r="AD369" s="65"/>
      <c r="AE369" s="65"/>
      <c r="AF369" s="65">
        <f>56.1</f>
        <v>56.1</v>
      </c>
      <c r="AG369" s="65"/>
      <c r="AH369" s="65"/>
      <c r="AI369" s="65"/>
      <c r="AJ369" s="65"/>
      <c r="AK369" s="65"/>
      <c r="AL369" s="65"/>
      <c r="AM369" s="26"/>
      <c r="AN369" s="26"/>
      <c r="AO369" s="26"/>
      <c r="AP369" s="26">
        <f>48.6</f>
        <v>48.6</v>
      </c>
      <c r="AQ369" s="26"/>
      <c r="AR369" s="26"/>
      <c r="AS369" s="26"/>
      <c r="AT369" s="26"/>
      <c r="AU369" s="26"/>
      <c r="AV369" s="26"/>
      <c r="AW369" s="26"/>
      <c r="AX369" s="26"/>
      <c r="AY369" s="26"/>
      <c r="AZ369" s="84">
        <f>37.5</f>
        <v>37.5</v>
      </c>
    </row>
    <row r="370" spans="1:52" ht="13" customHeight="1">
      <c r="A370" s="24" t="s">
        <v>309</v>
      </c>
      <c r="B370" s="24" t="s">
        <v>310</v>
      </c>
      <c r="C370" s="59"/>
      <c r="D370" s="39" t="s">
        <v>311</v>
      </c>
      <c r="E370" s="25" t="s">
        <v>257</v>
      </c>
      <c r="F370" s="25" t="s">
        <v>264</v>
      </c>
      <c r="G370" s="25" t="s">
        <v>259</v>
      </c>
      <c r="H370" s="38"/>
      <c r="I370" s="206" t="s">
        <v>350</v>
      </c>
      <c r="J370" s="202" t="s">
        <v>351</v>
      </c>
      <c r="K370" s="134">
        <f>2113</f>
        <v>2113</v>
      </c>
      <c r="L370" s="64">
        <f>1984.8</f>
        <v>1984.8</v>
      </c>
      <c r="M370" s="78">
        <f>1998.8</f>
        <v>1998.8</v>
      </c>
      <c r="N370" s="65"/>
      <c r="O370" s="65"/>
      <c r="P370" s="65"/>
      <c r="Q370" s="65">
        <f>1963.8</f>
        <v>1963.8</v>
      </c>
      <c r="R370" s="65"/>
      <c r="S370" s="65"/>
      <c r="T370" s="65"/>
      <c r="U370" s="65"/>
      <c r="V370" s="65">
        <f>1898.3</f>
        <v>1898.3</v>
      </c>
      <c r="W370" s="65"/>
      <c r="X370" s="65"/>
      <c r="Y370" s="65"/>
      <c r="Z370" s="65"/>
      <c r="AA370" s="65">
        <f>1849.2</f>
        <v>1849.2</v>
      </c>
      <c r="AB370" s="65"/>
      <c r="AC370" s="65"/>
      <c r="AD370" s="65"/>
      <c r="AE370" s="65"/>
      <c r="AF370" s="65">
        <f>1805.8</f>
        <v>1805.8</v>
      </c>
      <c r="AG370" s="65"/>
      <c r="AH370" s="65"/>
      <c r="AI370" s="65"/>
      <c r="AJ370" s="65"/>
      <c r="AK370" s="65"/>
      <c r="AL370" s="65"/>
      <c r="AM370" s="26"/>
      <c r="AN370" s="26"/>
      <c r="AO370" s="26"/>
      <c r="AP370" s="26">
        <f>1712.9</f>
        <v>1712.9</v>
      </c>
      <c r="AQ370" s="26"/>
      <c r="AR370" s="26"/>
      <c r="AS370" s="26"/>
      <c r="AT370" s="26"/>
      <c r="AU370" s="26"/>
      <c r="AV370" s="26"/>
      <c r="AW370" s="26"/>
      <c r="AX370" s="26"/>
      <c r="AY370" s="26"/>
      <c r="AZ370" s="84">
        <f>1619.9</f>
        <v>1619.9</v>
      </c>
    </row>
    <row r="371" spans="1:52" ht="13" customHeight="1">
      <c r="A371" s="24" t="s">
        <v>309</v>
      </c>
      <c r="B371" s="24" t="s">
        <v>310</v>
      </c>
      <c r="C371" s="73"/>
      <c r="D371" s="39" t="s">
        <v>311</v>
      </c>
      <c r="E371" s="25" t="s">
        <v>312</v>
      </c>
      <c r="F371" s="25" t="s">
        <v>264</v>
      </c>
      <c r="G371" s="25" t="s">
        <v>265</v>
      </c>
      <c r="H371" s="38"/>
      <c r="I371" s="206" t="s">
        <v>350</v>
      </c>
      <c r="J371" s="202" t="s">
        <v>351</v>
      </c>
      <c r="K371" s="134">
        <f>2113</f>
        <v>2113</v>
      </c>
      <c r="L371" s="64">
        <f>1984.8</f>
        <v>1984.8</v>
      </c>
      <c r="M371" s="78">
        <f>1998.8</f>
        <v>1998.8</v>
      </c>
      <c r="N371" s="65"/>
      <c r="O371" s="65"/>
      <c r="P371" s="65"/>
      <c r="Q371" s="65">
        <f>1963.8</f>
        <v>1963.8</v>
      </c>
      <c r="R371" s="65"/>
      <c r="S371" s="65"/>
      <c r="T371" s="65"/>
      <c r="U371" s="65"/>
      <c r="V371" s="65">
        <f>1898.3</f>
        <v>1898.3</v>
      </c>
      <c r="W371" s="65"/>
      <c r="X371" s="65"/>
      <c r="Y371" s="65"/>
      <c r="Z371" s="65"/>
      <c r="AA371" s="65">
        <f>1812.3</f>
        <v>1812.3</v>
      </c>
      <c r="AB371" s="65"/>
      <c r="AC371" s="65"/>
      <c r="AD371" s="65"/>
      <c r="AE371" s="65"/>
      <c r="AF371" s="65">
        <f>1715.7</f>
        <v>1715.7</v>
      </c>
      <c r="AG371" s="65"/>
      <c r="AH371" s="65"/>
      <c r="AI371" s="65"/>
      <c r="AJ371" s="65"/>
      <c r="AK371" s="65"/>
      <c r="AL371" s="65"/>
      <c r="AM371" s="26"/>
      <c r="AN371" s="26"/>
      <c r="AO371" s="26"/>
      <c r="AP371" s="26">
        <f>1541.9</f>
        <v>1541.9</v>
      </c>
      <c r="AQ371" s="26"/>
      <c r="AR371" s="26"/>
      <c r="AS371" s="26"/>
      <c r="AT371" s="26"/>
      <c r="AU371" s="26"/>
      <c r="AV371" s="26"/>
      <c r="AW371" s="26"/>
      <c r="AX371" s="26"/>
      <c r="AY371" s="26"/>
      <c r="AZ371" s="84">
        <f>1296.5</f>
        <v>1296.5</v>
      </c>
    </row>
    <row r="372" spans="1:52" ht="13" customHeight="1">
      <c r="A372" s="24" t="s">
        <v>309</v>
      </c>
      <c r="B372" s="24" t="s">
        <v>310</v>
      </c>
      <c r="C372" s="59"/>
      <c r="D372" s="39" t="s">
        <v>311</v>
      </c>
      <c r="E372" s="25" t="s">
        <v>257</v>
      </c>
      <c r="F372" s="25" t="s">
        <v>264</v>
      </c>
      <c r="G372" s="25" t="s">
        <v>259</v>
      </c>
      <c r="H372" s="38"/>
      <c r="I372" s="200" t="s">
        <v>103</v>
      </c>
      <c r="J372" s="199" t="s">
        <v>141</v>
      </c>
      <c r="K372" s="134">
        <f>73.9</f>
        <v>73.900000000000006</v>
      </c>
      <c r="L372" s="64">
        <f>73.8</f>
        <v>73.8</v>
      </c>
      <c r="M372" s="65">
        <f>77.8</f>
        <v>77.8</v>
      </c>
      <c r="N372" s="65"/>
      <c r="O372" s="65"/>
      <c r="P372" s="65"/>
      <c r="Q372" s="65">
        <f>70.3</f>
        <v>70.3</v>
      </c>
      <c r="R372" s="65"/>
      <c r="S372" s="65"/>
      <c r="T372" s="65"/>
      <c r="U372" s="65"/>
      <c r="V372" s="65">
        <v>75.7</v>
      </c>
      <c r="W372" s="65"/>
      <c r="X372" s="65"/>
      <c r="Y372" s="65"/>
      <c r="Z372" s="65"/>
      <c r="AA372" s="65">
        <f>85.3</f>
        <v>85.3</v>
      </c>
      <c r="AB372" s="65"/>
      <c r="AC372" s="65"/>
      <c r="AD372" s="65"/>
      <c r="AE372" s="65"/>
      <c r="AF372" s="65">
        <f>90.4</f>
        <v>90.4</v>
      </c>
      <c r="AG372" s="65"/>
      <c r="AH372" s="65"/>
      <c r="AI372" s="65"/>
      <c r="AJ372" s="65"/>
      <c r="AK372" s="65"/>
      <c r="AL372" s="65"/>
      <c r="AM372" s="59"/>
      <c r="AN372" s="59"/>
      <c r="AO372" s="59"/>
      <c r="AP372" s="59">
        <v>100.9</v>
      </c>
      <c r="AQ372" s="59"/>
      <c r="AR372" s="59"/>
      <c r="AS372" s="59"/>
      <c r="AT372" s="59"/>
      <c r="AU372" s="59"/>
      <c r="AV372" s="59"/>
      <c r="AW372" s="59"/>
      <c r="AX372" s="59"/>
      <c r="AY372" s="59"/>
      <c r="AZ372" s="85">
        <f>104.1</f>
        <v>104.1</v>
      </c>
    </row>
    <row r="373" spans="1:52" ht="13" customHeight="1">
      <c r="A373" s="24" t="s">
        <v>309</v>
      </c>
      <c r="B373" s="24" t="s">
        <v>310</v>
      </c>
      <c r="C373" s="73"/>
      <c r="D373" s="39" t="s">
        <v>311</v>
      </c>
      <c r="E373" s="76" t="s">
        <v>312</v>
      </c>
      <c r="F373" s="76" t="s">
        <v>264</v>
      </c>
      <c r="G373" s="25" t="s">
        <v>265</v>
      </c>
      <c r="H373" s="38"/>
      <c r="I373" s="200" t="s">
        <v>103</v>
      </c>
      <c r="J373" s="199" t="s">
        <v>141</v>
      </c>
      <c r="K373" s="134">
        <f>73.9</f>
        <v>73.900000000000006</v>
      </c>
      <c r="L373" s="64">
        <f>73.8</f>
        <v>73.8</v>
      </c>
      <c r="M373" s="65">
        <f>77.8</f>
        <v>77.8</v>
      </c>
      <c r="N373" s="65"/>
      <c r="O373" s="65"/>
      <c r="P373" s="65"/>
      <c r="Q373" s="65">
        <f>70.3</f>
        <v>70.3</v>
      </c>
      <c r="R373" s="65"/>
      <c r="S373" s="65"/>
      <c r="T373" s="65"/>
      <c r="U373" s="65"/>
      <c r="V373" s="65">
        <f>75.7</f>
        <v>75.7</v>
      </c>
      <c r="W373" s="65"/>
      <c r="X373" s="65"/>
      <c r="Y373" s="65"/>
      <c r="Z373" s="65"/>
      <c r="AA373" s="65">
        <f>85</f>
        <v>85</v>
      </c>
      <c r="AB373" s="65"/>
      <c r="AC373" s="65"/>
      <c r="AD373" s="65"/>
      <c r="AE373" s="65"/>
      <c r="AF373" s="65">
        <f>89.8</f>
        <v>89.8</v>
      </c>
      <c r="AG373" s="25"/>
      <c r="AH373" s="25"/>
      <c r="AI373" s="25"/>
      <c r="AJ373" s="25"/>
      <c r="AK373" s="25"/>
      <c r="AL373" s="25"/>
      <c r="AM373" s="25"/>
      <c r="AN373" s="25"/>
      <c r="AO373" s="25"/>
      <c r="AP373" s="65">
        <f>99.5</f>
        <v>99.5</v>
      </c>
      <c r="AQ373" s="25"/>
      <c r="AR373" s="25"/>
      <c r="AS373" s="25"/>
      <c r="AT373" s="25"/>
      <c r="AU373" s="25"/>
      <c r="AV373" s="25"/>
      <c r="AW373" s="25"/>
      <c r="AX373" s="25"/>
      <c r="AY373" s="25"/>
      <c r="AZ373" s="86">
        <f>102</f>
        <v>102</v>
      </c>
    </row>
    <row r="374" spans="1:52" ht="13" customHeight="1">
      <c r="A374" s="24" t="s">
        <v>309</v>
      </c>
      <c r="B374" s="24" t="s">
        <v>310</v>
      </c>
      <c r="C374" s="59"/>
      <c r="D374" s="39" t="s">
        <v>311</v>
      </c>
      <c r="E374" s="25" t="s">
        <v>257</v>
      </c>
      <c r="F374" s="25" t="s">
        <v>264</v>
      </c>
      <c r="G374" s="25" t="s">
        <v>259</v>
      </c>
      <c r="H374" s="38"/>
      <c r="I374" s="214" t="s">
        <v>352</v>
      </c>
      <c r="J374" s="199" t="s">
        <v>141</v>
      </c>
      <c r="K374" s="134">
        <f>48.8</f>
        <v>48.8</v>
      </c>
      <c r="L374" s="64">
        <f>46.9</f>
        <v>46.9</v>
      </c>
      <c r="M374" s="65">
        <f>47.4</f>
        <v>47.4</v>
      </c>
      <c r="N374" s="65"/>
      <c r="O374" s="65"/>
      <c r="P374" s="65"/>
      <c r="Q374" s="65">
        <f>42.6</f>
        <v>42.6</v>
      </c>
      <c r="R374" s="65"/>
      <c r="S374" s="65"/>
      <c r="T374" s="65"/>
      <c r="U374" s="65"/>
      <c r="V374" s="65">
        <f>45.3</f>
        <v>45.3</v>
      </c>
      <c r="W374" s="65"/>
      <c r="X374" s="65"/>
      <c r="Y374" s="65"/>
      <c r="Z374" s="65"/>
      <c r="AA374" s="65">
        <f>50.1</f>
        <v>50.1</v>
      </c>
      <c r="AB374" s="65"/>
      <c r="AC374" s="65"/>
      <c r="AD374" s="65"/>
      <c r="AE374" s="65"/>
      <c r="AF374" s="65">
        <f>52.3</f>
        <v>52.3</v>
      </c>
      <c r="AG374" s="25"/>
      <c r="AH374" s="25"/>
      <c r="AI374" s="25"/>
      <c r="AJ374" s="25"/>
      <c r="AK374" s="25"/>
      <c r="AL374" s="25"/>
      <c r="AM374" s="25"/>
      <c r="AN374" s="25"/>
      <c r="AO374" s="25"/>
      <c r="AP374" s="65">
        <f>56.3</f>
        <v>56.3</v>
      </c>
      <c r="AQ374" s="25"/>
      <c r="AR374" s="25"/>
      <c r="AS374" s="25"/>
      <c r="AT374" s="25"/>
      <c r="AU374" s="25"/>
      <c r="AV374" s="25"/>
      <c r="AW374" s="25"/>
      <c r="AX374" s="25"/>
      <c r="AY374" s="25"/>
      <c r="AZ374" s="81">
        <f>56</f>
        <v>56</v>
      </c>
    </row>
    <row r="375" spans="1:52" ht="13" customHeight="1">
      <c r="A375" s="24" t="s">
        <v>309</v>
      </c>
      <c r="B375" s="24" t="s">
        <v>310</v>
      </c>
      <c r="C375" s="73"/>
      <c r="D375" s="39" t="s">
        <v>311</v>
      </c>
      <c r="E375" s="25" t="s">
        <v>312</v>
      </c>
      <c r="F375" s="25" t="s">
        <v>264</v>
      </c>
      <c r="G375" s="25" t="s">
        <v>265</v>
      </c>
      <c r="H375" s="38"/>
      <c r="I375" s="214" t="s">
        <v>352</v>
      </c>
      <c r="J375" s="199" t="s">
        <v>141</v>
      </c>
      <c r="K375" s="134">
        <f>48.8</f>
        <v>48.8</v>
      </c>
      <c r="L375" s="64">
        <f>46.9</f>
        <v>46.9</v>
      </c>
      <c r="M375" s="65">
        <f>47.4</f>
        <v>47.4</v>
      </c>
      <c r="N375" s="65"/>
      <c r="O375" s="65"/>
      <c r="P375" s="65"/>
      <c r="Q375" s="65">
        <f>42.6</f>
        <v>42.6</v>
      </c>
      <c r="R375" s="65"/>
      <c r="S375" s="65"/>
      <c r="T375" s="65"/>
      <c r="U375" s="65"/>
      <c r="V375" s="65">
        <f>44.3</f>
        <v>44.3</v>
      </c>
      <c r="W375" s="65"/>
      <c r="X375" s="65"/>
      <c r="Y375" s="65"/>
      <c r="Z375" s="65"/>
      <c r="AA375" s="78">
        <f>45</f>
        <v>45</v>
      </c>
      <c r="AB375" s="65"/>
      <c r="AC375" s="65"/>
      <c r="AD375" s="65"/>
      <c r="AE375" s="65"/>
      <c r="AF375" s="65">
        <f>42.6</f>
        <v>42.6</v>
      </c>
      <c r="AG375" s="25"/>
      <c r="AH375" s="25"/>
      <c r="AI375" s="25"/>
      <c r="AJ375" s="25"/>
      <c r="AK375" s="25"/>
      <c r="AL375" s="25"/>
      <c r="AM375" s="25"/>
      <c r="AN375" s="25"/>
      <c r="AO375" s="25"/>
      <c r="AP375" s="65">
        <f>36.3</f>
        <v>36.299999999999997</v>
      </c>
      <c r="AQ375" s="25"/>
      <c r="AR375" s="25"/>
      <c r="AS375" s="25"/>
      <c r="AT375" s="25"/>
      <c r="AU375" s="25"/>
      <c r="AV375" s="25"/>
      <c r="AW375" s="25"/>
      <c r="AX375" s="25"/>
      <c r="AY375" s="25"/>
      <c r="AZ375" s="81">
        <f>27</f>
        <v>27</v>
      </c>
    </row>
    <row r="376" spans="1:52" ht="13" customHeight="1">
      <c r="A376" s="24" t="s">
        <v>309</v>
      </c>
      <c r="B376" s="24" t="s">
        <v>310</v>
      </c>
      <c r="C376" s="59"/>
      <c r="D376" s="39" t="s">
        <v>311</v>
      </c>
      <c r="E376" s="25" t="s">
        <v>257</v>
      </c>
      <c r="F376" s="25" t="s">
        <v>264</v>
      </c>
      <c r="G376" s="25" t="s">
        <v>259</v>
      </c>
      <c r="H376" s="38"/>
      <c r="I376" s="214" t="s">
        <v>353</v>
      </c>
      <c r="J376" s="199" t="s">
        <v>141</v>
      </c>
      <c r="K376" s="134">
        <f>25.1</f>
        <v>25.1</v>
      </c>
      <c r="L376" s="64">
        <f>26.9</f>
        <v>26.9</v>
      </c>
      <c r="M376" s="65">
        <f>30.3</f>
        <v>30.3</v>
      </c>
      <c r="N376" s="65"/>
      <c r="O376" s="65"/>
      <c r="P376" s="65"/>
      <c r="Q376" s="65">
        <v>27.7</v>
      </c>
      <c r="R376" s="65"/>
      <c r="S376" s="65"/>
      <c r="T376" s="65"/>
      <c r="U376" s="65"/>
      <c r="V376" s="65">
        <f>30.4</f>
        <v>30.4</v>
      </c>
      <c r="W376" s="65"/>
      <c r="X376" s="65"/>
      <c r="Y376" s="65"/>
      <c r="Z376" s="65"/>
      <c r="AA376" s="65">
        <f>35.1</f>
        <v>35.1</v>
      </c>
      <c r="AB376" s="65"/>
      <c r="AC376" s="65"/>
      <c r="AD376" s="65"/>
      <c r="AE376" s="65"/>
      <c r="AF376" s="65">
        <f>38.2</f>
        <v>38.200000000000003</v>
      </c>
      <c r="AG376" s="25"/>
      <c r="AH376" s="25"/>
      <c r="AI376" s="25"/>
      <c r="AJ376" s="25"/>
      <c r="AK376" s="25"/>
      <c r="AL376" s="25"/>
      <c r="AM376" s="25"/>
      <c r="AN376" s="25"/>
      <c r="AO376" s="25"/>
      <c r="AP376" s="65">
        <f>44.6</f>
        <v>44.6</v>
      </c>
      <c r="AQ376" s="25"/>
      <c r="AR376" s="25"/>
      <c r="AS376" s="25"/>
      <c r="AT376" s="25"/>
      <c r="AU376" s="25"/>
      <c r="AV376" s="25"/>
      <c r="AW376" s="25"/>
      <c r="AX376" s="25"/>
      <c r="AY376" s="25"/>
      <c r="AZ376" s="81">
        <f>48.1</f>
        <v>48.1</v>
      </c>
    </row>
    <row r="377" spans="1:52" ht="13" customHeight="1">
      <c r="A377" s="24" t="s">
        <v>309</v>
      </c>
      <c r="B377" s="24" t="s">
        <v>310</v>
      </c>
      <c r="C377" s="73"/>
      <c r="D377" s="39" t="s">
        <v>311</v>
      </c>
      <c r="E377" s="25" t="s">
        <v>312</v>
      </c>
      <c r="F377" s="25" t="s">
        <v>264</v>
      </c>
      <c r="G377" s="25" t="s">
        <v>265</v>
      </c>
      <c r="H377" s="38"/>
      <c r="I377" s="214" t="s">
        <v>353</v>
      </c>
      <c r="J377" s="199" t="s">
        <v>141</v>
      </c>
      <c r="K377" s="134">
        <f>25.1</f>
        <v>25.1</v>
      </c>
      <c r="L377" s="64">
        <f>26.9</f>
        <v>26.9</v>
      </c>
      <c r="M377" s="65">
        <f>30.3</f>
        <v>30.3</v>
      </c>
      <c r="N377" s="65"/>
      <c r="O377" s="65"/>
      <c r="P377" s="65"/>
      <c r="Q377" s="65">
        <v>27.7</v>
      </c>
      <c r="R377" s="65"/>
      <c r="S377" s="65"/>
      <c r="T377" s="65"/>
      <c r="U377" s="65"/>
      <c r="V377" s="65">
        <f>31.4</f>
        <v>31.4</v>
      </c>
      <c r="W377" s="65"/>
      <c r="X377" s="65"/>
      <c r="Y377" s="65"/>
      <c r="Z377" s="65"/>
      <c r="AA377" s="65">
        <f>37.8</f>
        <v>37.799999999999997</v>
      </c>
      <c r="AB377" s="65"/>
      <c r="AC377" s="65"/>
      <c r="AD377" s="65"/>
      <c r="AE377" s="65"/>
      <c r="AF377" s="65">
        <f>42.6</f>
        <v>42.6</v>
      </c>
      <c r="AG377" s="25"/>
      <c r="AH377" s="25"/>
      <c r="AI377" s="25"/>
      <c r="AJ377" s="25"/>
      <c r="AK377" s="25"/>
      <c r="AL377" s="25"/>
      <c r="AM377" s="25"/>
      <c r="AN377" s="25"/>
      <c r="AO377" s="25"/>
      <c r="AP377" s="65">
        <f>53.2</f>
        <v>53.2</v>
      </c>
      <c r="AQ377" s="25"/>
      <c r="AR377" s="25"/>
      <c r="AS377" s="25"/>
      <c r="AT377" s="25"/>
      <c r="AU377" s="25"/>
      <c r="AV377" s="25"/>
      <c r="AW377" s="25"/>
      <c r="AX377" s="25"/>
      <c r="AY377" s="25"/>
      <c r="AZ377" s="81">
        <f>59.7</f>
        <v>59.7</v>
      </c>
    </row>
    <row r="378" spans="1:52" ht="13" customHeight="1">
      <c r="A378" s="24" t="s">
        <v>309</v>
      </c>
      <c r="B378" s="24" t="s">
        <v>310</v>
      </c>
      <c r="C378" s="59"/>
      <c r="D378" s="39" t="s">
        <v>311</v>
      </c>
      <c r="E378" s="25" t="s">
        <v>257</v>
      </c>
      <c r="F378" s="25" t="s">
        <v>264</v>
      </c>
      <c r="G378" s="25" t="s">
        <v>259</v>
      </c>
      <c r="H378" s="38"/>
      <c r="I378" s="214" t="s">
        <v>354</v>
      </c>
      <c r="J378" s="199" t="s">
        <v>141</v>
      </c>
      <c r="K378" s="134">
        <f>0</f>
        <v>0</v>
      </c>
      <c r="L378" s="64">
        <f>0</f>
        <v>0</v>
      </c>
      <c r="M378" s="65">
        <f>0</f>
        <v>0</v>
      </c>
      <c r="N378" s="65"/>
      <c r="O378" s="65"/>
      <c r="P378" s="65"/>
      <c r="Q378" s="65">
        <f>0</f>
        <v>0</v>
      </c>
      <c r="R378" s="65"/>
      <c r="S378" s="65"/>
      <c r="T378" s="65"/>
      <c r="U378" s="65"/>
      <c r="V378" s="65">
        <f>0</f>
        <v>0</v>
      </c>
      <c r="W378" s="65"/>
      <c r="X378" s="65"/>
      <c r="Y378" s="65"/>
      <c r="Z378" s="65"/>
      <c r="AA378" s="65">
        <f>0</f>
        <v>0</v>
      </c>
      <c r="AB378" s="65"/>
      <c r="AC378" s="65"/>
      <c r="AD378" s="65"/>
      <c r="AE378" s="65"/>
      <c r="AF378" s="65">
        <f>0</f>
        <v>0</v>
      </c>
      <c r="AG378" s="25"/>
      <c r="AH378" s="25"/>
      <c r="AI378" s="25"/>
      <c r="AJ378" s="25"/>
      <c r="AK378" s="25"/>
      <c r="AL378" s="25"/>
      <c r="AM378" s="25"/>
      <c r="AN378" s="25"/>
      <c r="AO378" s="25"/>
      <c r="AP378" s="65">
        <f>0</f>
        <v>0</v>
      </c>
      <c r="AQ378" s="25"/>
      <c r="AR378" s="25"/>
      <c r="AS378" s="25"/>
      <c r="AT378" s="25"/>
      <c r="AU378" s="25"/>
      <c r="AV378" s="25"/>
      <c r="AW378" s="25"/>
      <c r="AX378" s="25"/>
      <c r="AY378" s="25"/>
      <c r="AZ378" s="81">
        <f>0</f>
        <v>0</v>
      </c>
    </row>
    <row r="379" spans="1:52" ht="13" customHeight="1">
      <c r="A379" s="24" t="s">
        <v>309</v>
      </c>
      <c r="B379" s="24" t="s">
        <v>310</v>
      </c>
      <c r="C379" s="73"/>
      <c r="D379" s="39" t="s">
        <v>311</v>
      </c>
      <c r="E379" s="25" t="s">
        <v>312</v>
      </c>
      <c r="F379" s="25" t="s">
        <v>264</v>
      </c>
      <c r="G379" s="25" t="s">
        <v>265</v>
      </c>
      <c r="H379" s="38"/>
      <c r="I379" s="214" t="s">
        <v>354</v>
      </c>
      <c r="J379" s="199" t="s">
        <v>141</v>
      </c>
      <c r="K379" s="134">
        <f>0</f>
        <v>0</v>
      </c>
      <c r="L379" s="64">
        <f>0</f>
        <v>0</v>
      </c>
      <c r="M379" s="65">
        <f>0</f>
        <v>0</v>
      </c>
      <c r="N379" s="65"/>
      <c r="O379" s="65"/>
      <c r="P379" s="65"/>
      <c r="Q379" s="65">
        <f>0</f>
        <v>0</v>
      </c>
      <c r="R379" s="65"/>
      <c r="S379" s="65"/>
      <c r="T379" s="65"/>
      <c r="U379" s="65"/>
      <c r="V379" s="65">
        <f>0</f>
        <v>0</v>
      </c>
      <c r="W379" s="65"/>
      <c r="X379" s="65"/>
      <c r="Y379" s="65"/>
      <c r="Z379" s="65"/>
      <c r="AA379" s="65">
        <f>2.1</f>
        <v>2.1</v>
      </c>
      <c r="AB379" s="65"/>
      <c r="AC379" s="65"/>
      <c r="AD379" s="65"/>
      <c r="AE379" s="65"/>
      <c r="AF379" s="65">
        <f>4.5</f>
        <v>4.5</v>
      </c>
      <c r="AG379" s="25"/>
      <c r="AH379" s="25"/>
      <c r="AI379" s="25"/>
      <c r="AJ379" s="25"/>
      <c r="AK379" s="25"/>
      <c r="AL379" s="25"/>
      <c r="AM379" s="25"/>
      <c r="AN379" s="25"/>
      <c r="AO379" s="25"/>
      <c r="AP379" s="65">
        <f>9.9</f>
        <v>9.9</v>
      </c>
      <c r="AQ379" s="25"/>
      <c r="AR379" s="25"/>
      <c r="AS379" s="25"/>
      <c r="AT379" s="25"/>
      <c r="AU379" s="25"/>
      <c r="AV379" s="25"/>
      <c r="AW379" s="25"/>
      <c r="AX379" s="25"/>
      <c r="AY379" s="25"/>
      <c r="AZ379" s="81">
        <f>15.3</f>
        <v>15.3</v>
      </c>
    </row>
    <row r="380" spans="1:52" ht="13" customHeight="1">
      <c r="A380" s="24" t="s">
        <v>309</v>
      </c>
      <c r="B380" s="24" t="s">
        <v>310</v>
      </c>
      <c r="C380" s="59"/>
      <c r="D380" s="39" t="s">
        <v>311</v>
      </c>
      <c r="E380" s="25" t="s">
        <v>257</v>
      </c>
      <c r="F380" s="25" t="s">
        <v>264</v>
      </c>
      <c r="G380" s="25" t="s">
        <v>259</v>
      </c>
      <c r="H380" s="38"/>
      <c r="I380" s="208" t="s">
        <v>355</v>
      </c>
      <c r="J380" s="199" t="s">
        <v>98</v>
      </c>
      <c r="K380" s="216">
        <f>0</f>
        <v>0</v>
      </c>
      <c r="L380" s="46">
        <f>0</f>
        <v>0</v>
      </c>
      <c r="M380" s="47">
        <f>0</f>
        <v>0</v>
      </c>
      <c r="N380" s="26"/>
      <c r="O380" s="26"/>
      <c r="P380" s="26"/>
      <c r="Q380" s="47">
        <f>0</f>
        <v>0</v>
      </c>
      <c r="R380" s="26"/>
      <c r="S380" s="26"/>
      <c r="T380" s="26"/>
      <c r="U380" s="26"/>
      <c r="V380" s="47">
        <f>0</f>
        <v>0</v>
      </c>
      <c r="W380" s="26"/>
      <c r="X380" s="26"/>
      <c r="Y380" s="26"/>
      <c r="Z380" s="26"/>
      <c r="AA380" s="47">
        <f>0</f>
        <v>0</v>
      </c>
      <c r="AB380" s="26"/>
      <c r="AC380" s="26"/>
      <c r="AD380" s="26"/>
      <c r="AE380" s="26"/>
      <c r="AF380" s="47">
        <f>0</f>
        <v>0</v>
      </c>
      <c r="AG380" s="26"/>
      <c r="AH380" s="26"/>
      <c r="AI380" s="26"/>
      <c r="AJ380" s="26"/>
      <c r="AK380" s="26"/>
      <c r="AL380" s="26"/>
      <c r="AM380" s="26"/>
      <c r="AN380" s="26"/>
      <c r="AO380" s="26"/>
      <c r="AP380" s="47">
        <f>0</f>
        <v>0</v>
      </c>
      <c r="AQ380" s="26"/>
      <c r="AR380" s="26"/>
      <c r="AS380" s="26"/>
      <c r="AT380" s="26"/>
      <c r="AU380" s="26"/>
      <c r="AV380" s="26"/>
      <c r="AW380" s="26"/>
      <c r="AX380" s="26"/>
      <c r="AY380" s="26"/>
      <c r="AZ380" s="88">
        <f>0</f>
        <v>0</v>
      </c>
    </row>
    <row r="381" spans="1:52" ht="13" customHeight="1">
      <c r="A381" s="24" t="s">
        <v>309</v>
      </c>
      <c r="B381" s="24" t="s">
        <v>310</v>
      </c>
      <c r="C381" s="73"/>
      <c r="D381" s="39" t="s">
        <v>311</v>
      </c>
      <c r="E381" s="25" t="s">
        <v>312</v>
      </c>
      <c r="F381" s="25" t="s">
        <v>264</v>
      </c>
      <c r="G381" s="25" t="s">
        <v>265</v>
      </c>
      <c r="H381" s="38"/>
      <c r="I381" s="208" t="s">
        <v>355</v>
      </c>
      <c r="J381" s="199" t="s">
        <v>98</v>
      </c>
      <c r="K381" s="216">
        <f>0</f>
        <v>0</v>
      </c>
      <c r="L381" s="46">
        <f>0</f>
        <v>0</v>
      </c>
      <c r="M381" s="47">
        <f>0</f>
        <v>0</v>
      </c>
      <c r="N381" s="26"/>
      <c r="O381" s="26"/>
      <c r="P381" s="26"/>
      <c r="Q381" s="47">
        <f>0</f>
        <v>0</v>
      </c>
      <c r="R381" s="26"/>
      <c r="S381" s="26"/>
      <c r="T381" s="26"/>
      <c r="U381" s="26"/>
      <c r="V381" s="47">
        <f>0</f>
        <v>0</v>
      </c>
      <c r="W381" s="26"/>
      <c r="X381" s="26"/>
      <c r="Y381" s="26"/>
      <c r="Z381" s="26"/>
      <c r="AA381" s="47">
        <f>0.03</f>
        <v>0.03</v>
      </c>
      <c r="AB381" s="26"/>
      <c r="AC381" s="26"/>
      <c r="AD381" s="26"/>
      <c r="AE381" s="26"/>
      <c r="AF381" s="47">
        <f>0.05</f>
        <v>0.05</v>
      </c>
      <c r="AG381" s="26"/>
      <c r="AH381" s="26"/>
      <c r="AI381" s="26"/>
      <c r="AJ381" s="26"/>
      <c r="AK381" s="26"/>
      <c r="AL381" s="26"/>
      <c r="AM381" s="26"/>
      <c r="AN381" s="26"/>
      <c r="AO381" s="26"/>
      <c r="AP381" s="47">
        <f>0.1</f>
        <v>0.1</v>
      </c>
      <c r="AQ381" s="26"/>
      <c r="AR381" s="26"/>
      <c r="AS381" s="26"/>
      <c r="AT381" s="26"/>
      <c r="AU381" s="26"/>
      <c r="AV381" s="26"/>
      <c r="AW381" s="26"/>
      <c r="AX381" s="26"/>
      <c r="AY381" s="26"/>
      <c r="AZ381" s="88">
        <f>0.15</f>
        <v>0.15</v>
      </c>
    </row>
    <row r="382" spans="1:52" ht="13" customHeight="1">
      <c r="A382" s="24" t="s">
        <v>309</v>
      </c>
      <c r="B382" s="24" t="s">
        <v>310</v>
      </c>
      <c r="C382" s="59"/>
      <c r="D382" s="39" t="s">
        <v>311</v>
      </c>
      <c r="E382" s="25" t="s">
        <v>257</v>
      </c>
      <c r="F382" s="25" t="s">
        <v>264</v>
      </c>
      <c r="G382" s="25" t="s">
        <v>259</v>
      </c>
      <c r="H382" s="38"/>
      <c r="I382" s="206" t="s">
        <v>356</v>
      </c>
      <c r="J382" s="202" t="s">
        <v>357</v>
      </c>
      <c r="K382" s="134">
        <f>126.4</f>
        <v>126.4</v>
      </c>
      <c r="L382" s="64">
        <f>126.6</f>
        <v>126.6</v>
      </c>
      <c r="M382" s="65">
        <f>124.9</f>
        <v>124.9</v>
      </c>
      <c r="N382" s="65"/>
      <c r="O382" s="65"/>
      <c r="P382" s="65"/>
      <c r="Q382" s="78">
        <v>122</v>
      </c>
      <c r="R382" s="65"/>
      <c r="S382" s="65"/>
      <c r="T382" s="65"/>
      <c r="U382" s="65"/>
      <c r="V382" s="65">
        <v>117.7</v>
      </c>
      <c r="W382" s="65"/>
      <c r="X382" s="65"/>
      <c r="Y382" s="65"/>
      <c r="Z382" s="65"/>
      <c r="AA382" s="65">
        <v>113.4</v>
      </c>
      <c r="AB382" s="65"/>
      <c r="AC382" s="65"/>
      <c r="AD382" s="65"/>
      <c r="AE382" s="65"/>
      <c r="AF382" s="65">
        <v>109.6</v>
      </c>
      <c r="AG382" s="25"/>
      <c r="AH382" s="25"/>
      <c r="AI382" s="25"/>
      <c r="AJ382" s="25"/>
      <c r="AK382" s="25"/>
      <c r="AL382" s="25"/>
      <c r="AM382" s="25"/>
      <c r="AN382" s="25"/>
      <c r="AO382" s="25"/>
      <c r="AP382" s="78">
        <f>102</f>
        <v>102</v>
      </c>
      <c r="AQ382" s="25"/>
      <c r="AR382" s="25"/>
      <c r="AS382" s="25"/>
      <c r="AT382" s="25"/>
      <c r="AU382" s="25"/>
      <c r="AV382" s="25"/>
      <c r="AW382" s="25"/>
      <c r="AX382" s="25"/>
      <c r="AY382" s="25"/>
      <c r="AZ382" s="81">
        <f>94.6</f>
        <v>94.6</v>
      </c>
    </row>
    <row r="383" spans="1:52" ht="13" customHeight="1">
      <c r="A383" s="24" t="s">
        <v>309</v>
      </c>
      <c r="B383" s="24" t="s">
        <v>310</v>
      </c>
      <c r="C383" s="73"/>
      <c r="D383" s="39" t="s">
        <v>311</v>
      </c>
      <c r="E383" s="25" t="s">
        <v>312</v>
      </c>
      <c r="F383" s="25" t="s">
        <v>264</v>
      </c>
      <c r="G383" s="25" t="s">
        <v>265</v>
      </c>
      <c r="H383" s="38"/>
      <c r="I383" s="206" t="s">
        <v>356</v>
      </c>
      <c r="J383" s="202" t="s">
        <v>357</v>
      </c>
      <c r="K383" s="134">
        <f>126.4</f>
        <v>126.4</v>
      </c>
      <c r="L383" s="64">
        <f>126.6</f>
        <v>126.6</v>
      </c>
      <c r="M383" s="65">
        <f>124.9</f>
        <v>124.9</v>
      </c>
      <c r="N383" s="65"/>
      <c r="O383" s="65"/>
      <c r="P383" s="65"/>
      <c r="Q383" s="78">
        <f>122</f>
        <v>122</v>
      </c>
      <c r="R383" s="65"/>
      <c r="S383" s="65"/>
      <c r="T383" s="65"/>
      <c r="U383" s="65"/>
      <c r="V383" s="78">
        <f>116</f>
        <v>116</v>
      </c>
      <c r="W383" s="65"/>
      <c r="X383" s="65"/>
      <c r="Y383" s="65"/>
      <c r="Z383" s="65"/>
      <c r="AA383" s="65">
        <v>103.8</v>
      </c>
      <c r="AB383" s="65"/>
      <c r="AC383" s="65"/>
      <c r="AD383" s="65"/>
      <c r="AE383" s="65"/>
      <c r="AF383" s="65">
        <f>91.8</f>
        <v>91.8</v>
      </c>
      <c r="AG383" s="25"/>
      <c r="AH383" s="25"/>
      <c r="AI383" s="25"/>
      <c r="AJ383" s="25"/>
      <c r="AK383" s="25"/>
      <c r="AL383" s="25"/>
      <c r="AM383" s="25"/>
      <c r="AN383" s="25"/>
      <c r="AO383" s="25"/>
      <c r="AP383" s="65">
        <f>70.8</f>
        <v>70.8</v>
      </c>
      <c r="AQ383" s="25"/>
      <c r="AR383" s="25"/>
      <c r="AS383" s="25"/>
      <c r="AT383" s="25"/>
      <c r="AU383" s="25"/>
      <c r="AV383" s="25"/>
      <c r="AW383" s="25"/>
      <c r="AX383" s="25"/>
      <c r="AY383" s="25"/>
      <c r="AZ383" s="81">
        <f>50.4</f>
        <v>50.4</v>
      </c>
    </row>
    <row r="384" spans="1:52" ht="13" customHeight="1">
      <c r="A384" s="24" t="s">
        <v>309</v>
      </c>
      <c r="B384" s="24" t="s">
        <v>310</v>
      </c>
      <c r="C384" s="59"/>
      <c r="D384" s="39" t="s">
        <v>311</v>
      </c>
      <c r="E384" s="25" t="s">
        <v>257</v>
      </c>
      <c r="F384" s="25" t="s">
        <v>264</v>
      </c>
      <c r="G384" s="25" t="s">
        <v>259</v>
      </c>
      <c r="H384" s="38"/>
      <c r="I384" s="210" t="s">
        <v>358</v>
      </c>
      <c r="J384" s="202" t="s">
        <v>267</v>
      </c>
      <c r="K384" s="134">
        <f>8.1</f>
        <v>8.1</v>
      </c>
      <c r="L384" s="64">
        <f>8.2</f>
        <v>8.1999999999999993</v>
      </c>
      <c r="M384" s="78">
        <f>8</f>
        <v>8</v>
      </c>
      <c r="N384" s="65"/>
      <c r="O384" s="65"/>
      <c r="P384" s="65"/>
      <c r="Q384" s="65">
        <f>8.9</f>
        <v>8.9</v>
      </c>
      <c r="R384" s="65"/>
      <c r="S384" s="65"/>
      <c r="T384" s="65"/>
      <c r="U384" s="65"/>
      <c r="V384" s="65">
        <f>9.7</f>
        <v>9.6999999999999993</v>
      </c>
      <c r="W384" s="65"/>
      <c r="X384" s="65"/>
      <c r="Y384" s="65"/>
      <c r="Z384" s="65"/>
      <c r="AA384" s="65">
        <f>10.2</f>
        <v>10.199999999999999</v>
      </c>
      <c r="AB384" s="65"/>
      <c r="AC384" s="65"/>
      <c r="AD384" s="65"/>
      <c r="AE384" s="65"/>
      <c r="AF384" s="65">
        <f>10.7</f>
        <v>10.7</v>
      </c>
      <c r="AG384" s="65"/>
      <c r="AH384" s="65"/>
      <c r="AI384" s="65"/>
      <c r="AJ384" s="65"/>
      <c r="AK384" s="65"/>
      <c r="AL384" s="65"/>
      <c r="AM384" s="26"/>
      <c r="AN384" s="26"/>
      <c r="AO384" s="26"/>
      <c r="AP384" s="34">
        <f>11.5</f>
        <v>11.5</v>
      </c>
      <c r="AQ384" s="26"/>
      <c r="AR384" s="26"/>
      <c r="AS384" s="26"/>
      <c r="AT384" s="26"/>
      <c r="AU384" s="26"/>
      <c r="AV384" s="26"/>
      <c r="AW384" s="26"/>
      <c r="AX384" s="26"/>
      <c r="AY384" s="26"/>
      <c r="AZ384" s="32">
        <f>13.4</f>
        <v>13.4</v>
      </c>
    </row>
    <row r="385" spans="1:53" ht="13" customHeight="1">
      <c r="A385" s="24" t="s">
        <v>309</v>
      </c>
      <c r="B385" s="24" t="s">
        <v>310</v>
      </c>
      <c r="C385" s="73"/>
      <c r="D385" s="39" t="s">
        <v>311</v>
      </c>
      <c r="E385" s="76" t="s">
        <v>312</v>
      </c>
      <c r="F385" s="76" t="s">
        <v>264</v>
      </c>
      <c r="G385" s="25" t="s">
        <v>265</v>
      </c>
      <c r="H385" s="38"/>
      <c r="I385" s="210" t="s">
        <v>358</v>
      </c>
      <c r="J385" s="202" t="s">
        <v>267</v>
      </c>
      <c r="K385" s="134">
        <f>8.1</f>
        <v>8.1</v>
      </c>
      <c r="L385" s="64">
        <f>8.2</f>
        <v>8.1999999999999993</v>
      </c>
      <c r="M385" s="78">
        <f>8</f>
        <v>8</v>
      </c>
      <c r="N385" s="65"/>
      <c r="O385" s="65"/>
      <c r="P385" s="65"/>
      <c r="Q385" s="65">
        <f>8.9</f>
        <v>8.9</v>
      </c>
      <c r="R385" s="65"/>
      <c r="S385" s="65"/>
      <c r="T385" s="65"/>
      <c r="U385" s="65"/>
      <c r="V385" s="65">
        <f>9.7</f>
        <v>9.6999999999999993</v>
      </c>
      <c r="W385" s="65"/>
      <c r="X385" s="65"/>
      <c r="Y385" s="65"/>
      <c r="Z385" s="65"/>
      <c r="AA385" s="65">
        <f>10.2</f>
        <v>10.199999999999999</v>
      </c>
      <c r="AB385" s="65"/>
      <c r="AC385" s="65"/>
      <c r="AD385" s="65"/>
      <c r="AE385" s="65"/>
      <c r="AF385" s="65">
        <f>10.7</f>
        <v>10.7</v>
      </c>
      <c r="AG385" s="65"/>
      <c r="AH385" s="65"/>
      <c r="AI385" s="65"/>
      <c r="AJ385" s="65"/>
      <c r="AK385" s="65"/>
      <c r="AL385" s="65"/>
      <c r="AM385" s="26"/>
      <c r="AN385" s="26"/>
      <c r="AO385" s="26"/>
      <c r="AP385" s="26">
        <f>11.5</f>
        <v>11.5</v>
      </c>
      <c r="AQ385" s="26"/>
      <c r="AR385" s="26"/>
      <c r="AS385" s="26"/>
      <c r="AT385" s="26"/>
      <c r="AU385" s="26"/>
      <c r="AV385" s="26"/>
      <c r="AW385" s="26"/>
      <c r="AX385" s="26"/>
      <c r="AY385" s="26"/>
      <c r="AZ385" s="32">
        <f>13.4</f>
        <v>13.4</v>
      </c>
    </row>
    <row r="386" spans="1:53" ht="13" customHeight="1">
      <c r="A386" s="24" t="s">
        <v>309</v>
      </c>
      <c r="B386" s="24" t="s">
        <v>310</v>
      </c>
      <c r="C386" s="59"/>
      <c r="D386" s="39" t="s">
        <v>311</v>
      </c>
      <c r="E386" s="25" t="s">
        <v>257</v>
      </c>
      <c r="F386" s="25" t="s">
        <v>264</v>
      </c>
      <c r="G386" s="25" t="s">
        <v>259</v>
      </c>
      <c r="H386" s="38"/>
      <c r="I386" s="200" t="s">
        <v>106</v>
      </c>
      <c r="J386" s="199" t="s">
        <v>141</v>
      </c>
      <c r="K386" s="134">
        <f>3.8</f>
        <v>3.8</v>
      </c>
      <c r="L386" s="64">
        <f>3.9</f>
        <v>3.9</v>
      </c>
      <c r="M386" s="78">
        <f>3.9</f>
        <v>3.9</v>
      </c>
      <c r="N386" s="65"/>
      <c r="O386" s="65"/>
      <c r="P386" s="65"/>
      <c r="Q386" s="65">
        <f>4.4</f>
        <v>4.4000000000000004</v>
      </c>
      <c r="R386" s="65"/>
      <c r="S386" s="65"/>
      <c r="T386" s="65"/>
      <c r="U386" s="65"/>
      <c r="V386" s="65">
        <f>4.9</f>
        <v>4.9000000000000004</v>
      </c>
      <c r="W386" s="65"/>
      <c r="X386" s="65"/>
      <c r="Y386" s="65"/>
      <c r="Z386" s="65"/>
      <c r="AA386" s="65">
        <f>5.2</f>
        <v>5.2</v>
      </c>
      <c r="AB386" s="65"/>
      <c r="AC386" s="65"/>
      <c r="AD386" s="65"/>
      <c r="AE386" s="65"/>
      <c r="AF386" s="65">
        <f>5.5</f>
        <v>5.5</v>
      </c>
      <c r="AG386" s="65"/>
      <c r="AH386" s="65"/>
      <c r="AI386" s="65"/>
      <c r="AJ386" s="65"/>
      <c r="AK386" s="65"/>
      <c r="AL386" s="65"/>
      <c r="AM386" s="26"/>
      <c r="AN386" s="26"/>
      <c r="AO386" s="26"/>
      <c r="AP386" s="34">
        <f>6</f>
        <v>6</v>
      </c>
      <c r="AQ386" s="26"/>
      <c r="AR386" s="26"/>
      <c r="AS386" s="26"/>
      <c r="AT386" s="26"/>
      <c r="AU386" s="26"/>
      <c r="AV386" s="26"/>
      <c r="AW386" s="26"/>
      <c r="AX386" s="26"/>
      <c r="AY386" s="26"/>
      <c r="AZ386" s="32">
        <f>6.5</f>
        <v>6.5</v>
      </c>
    </row>
    <row r="387" spans="1:53" ht="13" customHeight="1">
      <c r="A387" s="24" t="s">
        <v>309</v>
      </c>
      <c r="B387" s="24" t="s">
        <v>310</v>
      </c>
      <c r="C387" s="73"/>
      <c r="D387" s="39" t="s">
        <v>311</v>
      </c>
      <c r="E387" s="76" t="s">
        <v>312</v>
      </c>
      <c r="F387" s="76" t="s">
        <v>264</v>
      </c>
      <c r="G387" s="25" t="s">
        <v>265</v>
      </c>
      <c r="H387" s="38"/>
      <c r="I387" s="200" t="s">
        <v>106</v>
      </c>
      <c r="J387" s="199" t="s">
        <v>141</v>
      </c>
      <c r="K387" s="134">
        <f>3.8</f>
        <v>3.8</v>
      </c>
      <c r="L387" s="64">
        <f>3.9</f>
        <v>3.9</v>
      </c>
      <c r="M387" s="78">
        <f>3.9</f>
        <v>3.9</v>
      </c>
      <c r="N387" s="65"/>
      <c r="O387" s="65"/>
      <c r="P387" s="65"/>
      <c r="Q387" s="65">
        <f>4.4</f>
        <v>4.4000000000000004</v>
      </c>
      <c r="R387" s="65"/>
      <c r="S387" s="65"/>
      <c r="T387" s="65"/>
      <c r="U387" s="65"/>
      <c r="V387" s="65">
        <f>4.9</f>
        <v>4.9000000000000004</v>
      </c>
      <c r="W387" s="65"/>
      <c r="X387" s="65"/>
      <c r="Y387" s="65"/>
      <c r="Z387" s="65"/>
      <c r="AA387" s="65">
        <f>5.2</f>
        <v>5.2</v>
      </c>
      <c r="AB387" s="65"/>
      <c r="AC387" s="65"/>
      <c r="AD387" s="65"/>
      <c r="AE387" s="65"/>
      <c r="AF387" s="65">
        <f>5.5</f>
        <v>5.5</v>
      </c>
      <c r="AG387" s="65"/>
      <c r="AH387" s="65"/>
      <c r="AI387" s="65"/>
      <c r="AJ387" s="65"/>
      <c r="AK387" s="65"/>
      <c r="AL387" s="65"/>
      <c r="AM387" s="26"/>
      <c r="AN387" s="26"/>
      <c r="AO387" s="26"/>
      <c r="AP387" s="34">
        <f>6</f>
        <v>6</v>
      </c>
      <c r="AQ387" s="26"/>
      <c r="AR387" s="26"/>
      <c r="AS387" s="26"/>
      <c r="AT387" s="26"/>
      <c r="AU387" s="26"/>
      <c r="AV387" s="26"/>
      <c r="AW387" s="26"/>
      <c r="AX387" s="26"/>
      <c r="AY387" s="26"/>
      <c r="AZ387" s="32">
        <f>6.5</f>
        <v>6.5</v>
      </c>
    </row>
    <row r="388" spans="1:53" ht="13" customHeight="1">
      <c r="A388" s="24" t="s">
        <v>309</v>
      </c>
      <c r="B388" s="24" t="s">
        <v>310</v>
      </c>
      <c r="C388" s="59"/>
      <c r="D388" s="39" t="s">
        <v>311</v>
      </c>
      <c r="E388" s="25" t="s">
        <v>257</v>
      </c>
      <c r="F388" s="25" t="s">
        <v>264</v>
      </c>
      <c r="G388" s="25" t="s">
        <v>259</v>
      </c>
      <c r="H388" s="38"/>
      <c r="I388" s="206" t="s">
        <v>359</v>
      </c>
      <c r="J388" s="202" t="s">
        <v>267</v>
      </c>
      <c r="K388" s="134">
        <f>7.9</f>
        <v>7.9</v>
      </c>
      <c r="L388" s="68">
        <f>8</f>
        <v>8</v>
      </c>
      <c r="M388" s="78">
        <f>7.8</f>
        <v>7.8</v>
      </c>
      <c r="N388" s="65"/>
      <c r="O388" s="65"/>
      <c r="P388" s="65"/>
      <c r="Q388" s="65">
        <f>8.7</f>
        <v>8.6999999999999993</v>
      </c>
      <c r="R388" s="65"/>
      <c r="S388" s="65"/>
      <c r="T388" s="65"/>
      <c r="U388" s="65"/>
      <c r="V388" s="65">
        <f>9.5</f>
        <v>9.5</v>
      </c>
      <c r="W388" s="65"/>
      <c r="X388" s="65"/>
      <c r="Y388" s="65"/>
      <c r="Z388" s="65"/>
      <c r="AA388" s="78">
        <f>10</f>
        <v>10</v>
      </c>
      <c r="AB388" s="65"/>
      <c r="AC388" s="65"/>
      <c r="AD388" s="65"/>
      <c r="AE388" s="65"/>
      <c r="AF388" s="65">
        <f>10.5</f>
        <v>10.5</v>
      </c>
      <c r="AG388" s="65"/>
      <c r="AH388" s="65"/>
      <c r="AI388" s="65"/>
      <c r="AJ388" s="65"/>
      <c r="AK388" s="65"/>
      <c r="AL388" s="65"/>
      <c r="AM388" s="26"/>
      <c r="AN388" s="26"/>
      <c r="AO388" s="26"/>
      <c r="AP388" s="34">
        <f>11.3</f>
        <v>11.3</v>
      </c>
      <c r="AQ388" s="26"/>
      <c r="AR388" s="26"/>
      <c r="AS388" s="26"/>
      <c r="AT388" s="26"/>
      <c r="AU388" s="26"/>
      <c r="AV388" s="26"/>
      <c r="AW388" s="26"/>
      <c r="AX388" s="26"/>
      <c r="AY388" s="26"/>
      <c r="AZ388" s="32">
        <f>13.2</f>
        <v>13.2</v>
      </c>
    </row>
    <row r="389" spans="1:53" ht="13" customHeight="1">
      <c r="A389" s="24" t="s">
        <v>309</v>
      </c>
      <c r="B389" s="24" t="s">
        <v>310</v>
      </c>
      <c r="C389" s="73"/>
      <c r="D389" s="39" t="s">
        <v>311</v>
      </c>
      <c r="E389" s="76" t="s">
        <v>312</v>
      </c>
      <c r="F389" s="25" t="s">
        <v>264</v>
      </c>
      <c r="G389" s="25" t="s">
        <v>265</v>
      </c>
      <c r="H389" s="38"/>
      <c r="I389" s="206" t="s">
        <v>359</v>
      </c>
      <c r="J389" s="202" t="s">
        <v>267</v>
      </c>
      <c r="K389" s="134">
        <f>7.9</f>
        <v>7.9</v>
      </c>
      <c r="L389" s="68">
        <f>8</f>
        <v>8</v>
      </c>
      <c r="M389" s="78">
        <f>7.8</f>
        <v>7.8</v>
      </c>
      <c r="N389" s="65"/>
      <c r="O389" s="65"/>
      <c r="P389" s="65"/>
      <c r="Q389" s="65">
        <f>8.7</f>
        <v>8.6999999999999993</v>
      </c>
      <c r="R389" s="65"/>
      <c r="S389" s="65"/>
      <c r="T389" s="65"/>
      <c r="U389" s="65"/>
      <c r="V389" s="65">
        <f>9.5</f>
        <v>9.5</v>
      </c>
      <c r="W389" s="65"/>
      <c r="X389" s="65"/>
      <c r="Y389" s="65"/>
      <c r="Z389" s="65"/>
      <c r="AA389" s="78">
        <f>10</f>
        <v>10</v>
      </c>
      <c r="AB389" s="65"/>
      <c r="AC389" s="65"/>
      <c r="AD389" s="65"/>
      <c r="AE389" s="65"/>
      <c r="AF389" s="65">
        <f>10.5</f>
        <v>10.5</v>
      </c>
      <c r="AG389" s="65"/>
      <c r="AH389" s="65"/>
      <c r="AI389" s="65"/>
      <c r="AJ389" s="65"/>
      <c r="AK389" s="65"/>
      <c r="AL389" s="65"/>
      <c r="AM389" s="26"/>
      <c r="AN389" s="26"/>
      <c r="AO389" s="26"/>
      <c r="AP389" s="34">
        <f>11.3</f>
        <v>11.3</v>
      </c>
      <c r="AQ389" s="26"/>
      <c r="AR389" s="26"/>
      <c r="AS389" s="26"/>
      <c r="AT389" s="26"/>
      <c r="AU389" s="26"/>
      <c r="AV389" s="26"/>
      <c r="AW389" s="26"/>
      <c r="AX389" s="26"/>
      <c r="AY389" s="26"/>
      <c r="AZ389" s="32">
        <f>13.2</f>
        <v>13.2</v>
      </c>
    </row>
    <row r="390" spans="1:53" ht="13" customHeight="1">
      <c r="A390" s="24" t="s">
        <v>309</v>
      </c>
      <c r="B390" s="24" t="s">
        <v>310</v>
      </c>
      <c r="C390" s="59"/>
      <c r="D390" s="39" t="s">
        <v>311</v>
      </c>
      <c r="E390" s="25" t="s">
        <v>257</v>
      </c>
      <c r="F390" s="25" t="s">
        <v>264</v>
      </c>
      <c r="G390" s="25" t="s">
        <v>259</v>
      </c>
      <c r="H390" s="38"/>
      <c r="I390" s="206" t="s">
        <v>360</v>
      </c>
      <c r="J390" s="202" t="s">
        <v>361</v>
      </c>
      <c r="K390" s="134">
        <f>2056.4</f>
        <v>2056.4</v>
      </c>
      <c r="L390" s="64">
        <f>2024.1</f>
        <v>2024.1</v>
      </c>
      <c r="M390" s="78">
        <f>1988</f>
        <v>1988</v>
      </c>
      <c r="N390" s="65"/>
      <c r="O390" s="65"/>
      <c r="P390" s="65"/>
      <c r="Q390" s="65">
        <f>1977.9</f>
        <v>1977.9</v>
      </c>
      <c r="R390" s="65"/>
      <c r="S390" s="65"/>
      <c r="T390" s="65"/>
      <c r="U390" s="65"/>
      <c r="V390" s="65">
        <f>1945.3</f>
        <v>1945.3</v>
      </c>
      <c r="W390" s="65"/>
      <c r="X390" s="65"/>
      <c r="Y390" s="65"/>
      <c r="Z390" s="65"/>
      <c r="AA390" s="65">
        <f>1928.2</f>
        <v>1928.2</v>
      </c>
      <c r="AB390" s="65"/>
      <c r="AC390" s="65"/>
      <c r="AD390" s="65"/>
      <c r="AE390" s="65"/>
      <c r="AF390" s="78">
        <f>1913</f>
        <v>1913</v>
      </c>
      <c r="AG390" s="65"/>
      <c r="AH390" s="65"/>
      <c r="AI390" s="65"/>
      <c r="AJ390" s="65"/>
      <c r="AK390" s="65"/>
      <c r="AL390" s="65"/>
      <c r="AM390" s="26"/>
      <c r="AN390" s="26"/>
      <c r="AO390" s="26"/>
      <c r="AP390" s="34">
        <f>1891.1</f>
        <v>1891.1</v>
      </c>
      <c r="AQ390" s="26"/>
      <c r="AR390" s="26"/>
      <c r="AS390" s="26"/>
      <c r="AT390" s="26"/>
      <c r="AU390" s="26"/>
      <c r="AV390" s="26"/>
      <c r="AW390" s="26"/>
      <c r="AX390" s="26"/>
      <c r="AY390" s="26"/>
      <c r="AZ390" s="32">
        <f>2037.4</f>
        <v>2037.4</v>
      </c>
    </row>
    <row r="391" spans="1:53" ht="13" customHeight="1">
      <c r="A391" s="24" t="s">
        <v>309</v>
      </c>
      <c r="B391" s="24" t="s">
        <v>310</v>
      </c>
      <c r="C391" s="73"/>
      <c r="D391" s="39" t="s">
        <v>311</v>
      </c>
      <c r="E391" s="25" t="s">
        <v>312</v>
      </c>
      <c r="F391" s="25" t="s">
        <v>264</v>
      </c>
      <c r="G391" s="25" t="s">
        <v>265</v>
      </c>
      <c r="H391" s="38"/>
      <c r="I391" s="206" t="s">
        <v>360</v>
      </c>
      <c r="J391" s="202" t="s">
        <v>361</v>
      </c>
      <c r="K391" s="134">
        <f>2056.4</f>
        <v>2056.4</v>
      </c>
      <c r="L391" s="64">
        <f>2024.1</f>
        <v>2024.1</v>
      </c>
      <c r="M391" s="78">
        <f>1988</f>
        <v>1988</v>
      </c>
      <c r="N391" s="65"/>
      <c r="O391" s="65"/>
      <c r="P391" s="65"/>
      <c r="Q391" s="65">
        <f>1977.9</f>
        <v>1977.9</v>
      </c>
      <c r="R391" s="65"/>
      <c r="S391" s="65"/>
      <c r="T391" s="65"/>
      <c r="U391" s="65"/>
      <c r="V391" s="65">
        <f>1945.3</f>
        <v>1945.3</v>
      </c>
      <c r="W391" s="65"/>
      <c r="X391" s="65"/>
      <c r="Y391" s="65"/>
      <c r="Z391" s="65"/>
      <c r="AA391" s="65">
        <f>1895.3</f>
        <v>1895.3</v>
      </c>
      <c r="AB391" s="65"/>
      <c r="AC391" s="65"/>
      <c r="AD391" s="65"/>
      <c r="AE391" s="65"/>
      <c r="AF391" s="65">
        <f>1830.6</f>
        <v>1830.6</v>
      </c>
      <c r="AG391" s="65"/>
      <c r="AH391" s="65"/>
      <c r="AI391" s="65"/>
      <c r="AJ391" s="65"/>
      <c r="AK391" s="65"/>
      <c r="AL391" s="65"/>
      <c r="AM391" s="26"/>
      <c r="AN391" s="26"/>
      <c r="AO391" s="26"/>
      <c r="AP391" s="26">
        <f>1726.1</f>
        <v>1726.1</v>
      </c>
      <c r="AQ391" s="26"/>
      <c r="AR391" s="26"/>
      <c r="AS391" s="26"/>
      <c r="AT391" s="26"/>
      <c r="AU391" s="26"/>
      <c r="AV391" s="26"/>
      <c r="AW391" s="26"/>
      <c r="AX391" s="26"/>
      <c r="AY391" s="26"/>
      <c r="AZ391" s="32">
        <f>1674.5</f>
        <v>1674.5</v>
      </c>
    </row>
    <row r="392" spans="1:53" ht="13" customHeight="1">
      <c r="A392" s="24" t="s">
        <v>309</v>
      </c>
      <c r="B392" s="24" t="s">
        <v>310</v>
      </c>
      <c r="C392" s="59"/>
      <c r="D392" s="39" t="s">
        <v>311</v>
      </c>
      <c r="E392" s="25" t="s">
        <v>257</v>
      </c>
      <c r="F392" s="25" t="s">
        <v>264</v>
      </c>
      <c r="G392" s="25" t="s">
        <v>259</v>
      </c>
      <c r="H392" s="38"/>
      <c r="I392" s="177" t="s">
        <v>362</v>
      </c>
      <c r="J392" s="202" t="s">
        <v>267</v>
      </c>
      <c r="K392" s="134">
        <f>93.9</f>
        <v>93.9</v>
      </c>
      <c r="L392" s="31">
        <f>98.4</f>
        <v>98.4</v>
      </c>
      <c r="M392" s="26">
        <f>112.4</f>
        <v>112.4</v>
      </c>
      <c r="N392" s="26"/>
      <c r="O392" s="26"/>
      <c r="P392" s="26"/>
      <c r="Q392" s="26">
        <f>100.2</f>
        <v>100.2</v>
      </c>
      <c r="R392" s="26"/>
      <c r="S392" s="26"/>
      <c r="T392" s="26"/>
      <c r="U392" s="26"/>
      <c r="V392" s="26">
        <f>119</f>
        <v>119</v>
      </c>
      <c r="W392" s="26"/>
      <c r="X392" s="26"/>
      <c r="Y392" s="26"/>
      <c r="Z392" s="26"/>
      <c r="AA392" s="26">
        <f>137.8</f>
        <v>137.80000000000001</v>
      </c>
      <c r="AB392" s="26"/>
      <c r="AC392" s="26"/>
      <c r="AD392" s="26"/>
      <c r="AE392" s="26"/>
      <c r="AF392" s="26">
        <f>154.4</f>
        <v>154.4</v>
      </c>
      <c r="AG392" s="26"/>
      <c r="AH392" s="26"/>
      <c r="AI392" s="26"/>
      <c r="AJ392" s="26"/>
      <c r="AK392" s="26"/>
      <c r="AL392" s="26"/>
      <c r="AM392" s="26"/>
      <c r="AN392" s="26"/>
      <c r="AO392" s="26"/>
      <c r="AP392" s="26">
        <f>169.5</f>
        <v>169.5</v>
      </c>
      <c r="AQ392" s="26"/>
      <c r="AR392" s="26"/>
      <c r="AS392" s="26"/>
      <c r="AT392" s="26"/>
      <c r="AU392" s="26"/>
      <c r="AV392" s="26"/>
      <c r="AW392" s="26"/>
      <c r="AX392" s="26"/>
      <c r="AY392" s="26"/>
      <c r="AZ392" s="32">
        <f>176.6</f>
        <v>176.6</v>
      </c>
      <c r="BA392" s="5"/>
    </row>
    <row r="393" spans="1:53" ht="13" customHeight="1">
      <c r="A393" s="24" t="s">
        <v>309</v>
      </c>
      <c r="B393" s="24" t="s">
        <v>310</v>
      </c>
      <c r="C393" s="73"/>
      <c r="D393" s="39" t="s">
        <v>311</v>
      </c>
      <c r="E393" s="25" t="s">
        <v>312</v>
      </c>
      <c r="F393" s="25" t="s">
        <v>264</v>
      </c>
      <c r="G393" s="25" t="s">
        <v>265</v>
      </c>
      <c r="H393" s="38"/>
      <c r="I393" s="206" t="s">
        <v>362</v>
      </c>
      <c r="J393" s="202" t="s">
        <v>267</v>
      </c>
      <c r="K393" s="134">
        <f>93.9</f>
        <v>93.9</v>
      </c>
      <c r="L393" s="31">
        <f>98.4</f>
        <v>98.4</v>
      </c>
      <c r="M393" s="26">
        <f>112.4</f>
        <v>112.4</v>
      </c>
      <c r="N393" s="26"/>
      <c r="O393" s="26"/>
      <c r="P393" s="26"/>
      <c r="Q393" s="26">
        <f>100.2</f>
        <v>100.2</v>
      </c>
      <c r="R393" s="26"/>
      <c r="S393" s="26"/>
      <c r="T393" s="26"/>
      <c r="U393" s="26"/>
      <c r="V393" s="26">
        <f>118.5</f>
        <v>118.5</v>
      </c>
      <c r="W393" s="26"/>
      <c r="X393" s="26"/>
      <c r="Y393" s="26"/>
      <c r="Z393" s="26"/>
      <c r="AA393" s="26">
        <f>119.2</f>
        <v>119.2</v>
      </c>
      <c r="AB393" s="26"/>
      <c r="AC393" s="26"/>
      <c r="AD393" s="26"/>
      <c r="AE393" s="26"/>
      <c r="AF393" s="26">
        <f>115.6</f>
        <v>115.6</v>
      </c>
      <c r="AG393" s="26"/>
      <c r="AH393" s="26"/>
      <c r="AI393" s="26"/>
      <c r="AJ393" s="26"/>
      <c r="AK393" s="26"/>
      <c r="AL393" s="26"/>
      <c r="AM393" s="26"/>
      <c r="AN393" s="26"/>
      <c r="AO393" s="26"/>
      <c r="AP393" s="26">
        <f>98.1</f>
        <v>98.1</v>
      </c>
      <c r="AQ393" s="26"/>
      <c r="AR393" s="26"/>
      <c r="AS393" s="26"/>
      <c r="AT393" s="26"/>
      <c r="AU393" s="26"/>
      <c r="AV393" s="26"/>
      <c r="AW393" s="26"/>
      <c r="AX393" s="26"/>
      <c r="AY393" s="26"/>
      <c r="AZ393" s="32">
        <f>83.4</f>
        <v>83.4</v>
      </c>
      <c r="BA393" s="5"/>
    </row>
    <row r="394" spans="1:53" ht="13" customHeight="1">
      <c r="A394" s="24" t="s">
        <v>309</v>
      </c>
      <c r="B394" s="24" t="s">
        <v>310</v>
      </c>
      <c r="C394" s="59"/>
      <c r="D394" s="39" t="s">
        <v>311</v>
      </c>
      <c r="E394" s="25" t="s">
        <v>257</v>
      </c>
      <c r="F394" s="25" t="s">
        <v>264</v>
      </c>
      <c r="G394" s="25" t="s">
        <v>259</v>
      </c>
      <c r="H394" s="38"/>
      <c r="I394" s="200" t="s">
        <v>113</v>
      </c>
      <c r="J394" s="199" t="s">
        <v>141</v>
      </c>
      <c r="K394" s="134">
        <f>19.2</f>
        <v>19.2</v>
      </c>
      <c r="L394" s="31">
        <f>19.6</f>
        <v>19.600000000000001</v>
      </c>
      <c r="M394" s="26">
        <f>19.1</f>
        <v>19.100000000000001</v>
      </c>
      <c r="N394" s="26"/>
      <c r="O394" s="26"/>
      <c r="P394" s="26"/>
      <c r="Q394" s="26">
        <v>18.399999999999999</v>
      </c>
      <c r="R394" s="26"/>
      <c r="S394" s="26"/>
      <c r="T394" s="26"/>
      <c r="U394" s="26"/>
      <c r="V394" s="26">
        <f>22.2</f>
        <v>22.2</v>
      </c>
      <c r="W394" s="26"/>
      <c r="X394" s="26"/>
      <c r="Y394" s="26"/>
      <c r="Z394" s="26"/>
      <c r="AA394" s="26">
        <f>27.3</f>
        <v>27.3</v>
      </c>
      <c r="AB394" s="26"/>
      <c r="AC394" s="26"/>
      <c r="AD394" s="26"/>
      <c r="AE394" s="26"/>
      <c r="AF394" s="26">
        <v>32.200000000000003</v>
      </c>
      <c r="AG394" s="26"/>
      <c r="AH394" s="26"/>
      <c r="AI394" s="26"/>
      <c r="AJ394" s="26"/>
      <c r="AK394" s="26"/>
      <c r="AL394" s="26"/>
      <c r="AM394" s="26"/>
      <c r="AN394" s="26"/>
      <c r="AO394" s="26"/>
      <c r="AP394" s="26">
        <f>36.6</f>
        <v>36.6</v>
      </c>
      <c r="AQ394" s="26"/>
      <c r="AR394" s="26"/>
      <c r="AS394" s="26"/>
      <c r="AT394" s="26"/>
      <c r="AU394" s="26"/>
      <c r="AV394" s="26"/>
      <c r="AW394" s="26"/>
      <c r="AX394" s="26"/>
      <c r="AY394" s="26"/>
      <c r="AZ394" s="32">
        <f>42.2</f>
        <v>42.2</v>
      </c>
      <c r="BA394" s="5"/>
    </row>
    <row r="395" spans="1:53" ht="13" customHeight="1">
      <c r="A395" s="24" t="s">
        <v>309</v>
      </c>
      <c r="B395" s="24" t="s">
        <v>310</v>
      </c>
      <c r="C395" s="73"/>
      <c r="D395" s="39" t="s">
        <v>311</v>
      </c>
      <c r="E395" s="25" t="s">
        <v>312</v>
      </c>
      <c r="F395" s="25" t="s">
        <v>264</v>
      </c>
      <c r="G395" s="25" t="s">
        <v>265</v>
      </c>
      <c r="H395" s="38"/>
      <c r="I395" s="200" t="s">
        <v>113</v>
      </c>
      <c r="J395" s="199" t="s">
        <v>141</v>
      </c>
      <c r="K395" s="134">
        <f>19.2</f>
        <v>19.2</v>
      </c>
      <c r="L395" s="31">
        <f>19.6</f>
        <v>19.600000000000001</v>
      </c>
      <c r="M395" s="26">
        <f>19.1</f>
        <v>19.100000000000001</v>
      </c>
      <c r="N395" s="26"/>
      <c r="O395" s="26"/>
      <c r="P395" s="26"/>
      <c r="Q395" s="26">
        <f>18.4</f>
        <v>18.399999999999999</v>
      </c>
      <c r="R395" s="26"/>
      <c r="S395" s="26"/>
      <c r="T395" s="26"/>
      <c r="U395" s="26"/>
      <c r="V395" s="26">
        <f>22.2</f>
        <v>22.2</v>
      </c>
      <c r="W395" s="26"/>
      <c r="X395" s="26"/>
      <c r="Y395" s="26"/>
      <c r="Z395" s="26"/>
      <c r="AA395" s="26">
        <f>27.3</f>
        <v>27.3</v>
      </c>
      <c r="AB395" s="26"/>
      <c r="AC395" s="26"/>
      <c r="AD395" s="26"/>
      <c r="AE395" s="26"/>
      <c r="AF395" s="26">
        <v>32.200000000000003</v>
      </c>
      <c r="AG395" s="26"/>
      <c r="AH395" s="26"/>
      <c r="AI395" s="26"/>
      <c r="AJ395" s="26"/>
      <c r="AK395" s="26"/>
      <c r="AL395" s="26"/>
      <c r="AM395" s="26"/>
      <c r="AN395" s="26"/>
      <c r="AO395" s="26"/>
      <c r="AP395" s="26">
        <f>36.6</f>
        <v>36.6</v>
      </c>
      <c r="AQ395" s="26"/>
      <c r="AR395" s="26"/>
      <c r="AS395" s="26"/>
      <c r="AT395" s="26"/>
      <c r="AU395" s="26"/>
      <c r="AV395" s="26"/>
      <c r="AW395" s="26"/>
      <c r="AX395" s="26"/>
      <c r="AY395" s="26"/>
      <c r="AZ395" s="32">
        <f>42.2</f>
        <v>42.2</v>
      </c>
      <c r="BA395" s="5"/>
    </row>
    <row r="396" spans="1:53" ht="13" customHeight="1">
      <c r="A396" s="24" t="s">
        <v>309</v>
      </c>
      <c r="B396" s="24" t="s">
        <v>310</v>
      </c>
      <c r="C396" s="59"/>
      <c r="D396" s="39" t="s">
        <v>311</v>
      </c>
      <c r="E396" s="25" t="s">
        <v>257</v>
      </c>
      <c r="F396" s="25" t="s">
        <v>264</v>
      </c>
      <c r="G396" s="25" t="s">
        <v>259</v>
      </c>
      <c r="H396" s="38"/>
      <c r="I396" s="208" t="s">
        <v>363</v>
      </c>
      <c r="J396" s="199" t="s">
        <v>98</v>
      </c>
      <c r="K396" s="216">
        <f>0</f>
        <v>0</v>
      </c>
      <c r="L396" s="46">
        <f>0</f>
        <v>0</v>
      </c>
      <c r="M396" s="47">
        <f>0</f>
        <v>0</v>
      </c>
      <c r="N396" s="26"/>
      <c r="O396" s="26"/>
      <c r="P396" s="26"/>
      <c r="Q396" s="47">
        <f>0</f>
        <v>0</v>
      </c>
      <c r="R396" s="26"/>
      <c r="S396" s="26"/>
      <c r="T396" s="26"/>
      <c r="U396" s="26"/>
      <c r="V396" s="47">
        <f>0</f>
        <v>0</v>
      </c>
      <c r="W396" s="26"/>
      <c r="X396" s="26"/>
      <c r="Y396" s="26"/>
      <c r="Z396" s="26"/>
      <c r="AA396" s="47">
        <f>0</f>
        <v>0</v>
      </c>
      <c r="AB396" s="26"/>
      <c r="AC396" s="26"/>
      <c r="AD396" s="26"/>
      <c r="AE396" s="26"/>
      <c r="AF396" s="47">
        <f>0</f>
        <v>0</v>
      </c>
      <c r="AG396" s="26"/>
      <c r="AH396" s="26"/>
      <c r="AI396" s="26"/>
      <c r="AJ396" s="26"/>
      <c r="AK396" s="26"/>
      <c r="AL396" s="26"/>
      <c r="AM396" s="26"/>
      <c r="AN396" s="26"/>
      <c r="AO396" s="26"/>
      <c r="AP396" s="47">
        <f>0</f>
        <v>0</v>
      </c>
      <c r="AQ396" s="26"/>
      <c r="AR396" s="26"/>
      <c r="AS396" s="26"/>
      <c r="AT396" s="26"/>
      <c r="AU396" s="26"/>
      <c r="AV396" s="26"/>
      <c r="AW396" s="26"/>
      <c r="AX396" s="26"/>
      <c r="AY396" s="26"/>
      <c r="AZ396" s="88">
        <f>0</f>
        <v>0</v>
      </c>
      <c r="BA396" s="5"/>
    </row>
    <row r="397" spans="1:53" ht="13" customHeight="1">
      <c r="A397" s="24" t="s">
        <v>309</v>
      </c>
      <c r="B397" s="24" t="s">
        <v>310</v>
      </c>
      <c r="C397" s="73"/>
      <c r="D397" s="39" t="s">
        <v>311</v>
      </c>
      <c r="E397" s="25" t="s">
        <v>312</v>
      </c>
      <c r="F397" s="25" t="s">
        <v>264</v>
      </c>
      <c r="G397" s="25" t="s">
        <v>265</v>
      </c>
      <c r="H397" s="38"/>
      <c r="I397" s="208" t="s">
        <v>363</v>
      </c>
      <c r="J397" s="199" t="s">
        <v>98</v>
      </c>
      <c r="K397" s="216">
        <f>0</f>
        <v>0</v>
      </c>
      <c r="L397" s="46">
        <f>0</f>
        <v>0</v>
      </c>
      <c r="M397" s="47">
        <f>0</f>
        <v>0</v>
      </c>
      <c r="N397" s="26"/>
      <c r="O397" s="26"/>
      <c r="P397" s="26"/>
      <c r="Q397" s="47">
        <f>0</f>
        <v>0</v>
      </c>
      <c r="R397" s="26"/>
      <c r="S397" s="26"/>
      <c r="T397" s="26"/>
      <c r="U397" s="26"/>
      <c r="V397" s="47">
        <f>0</f>
        <v>0</v>
      </c>
      <c r="W397" s="26"/>
      <c r="X397" s="26"/>
      <c r="Y397" s="26"/>
      <c r="Z397" s="26"/>
      <c r="AA397" s="47">
        <f>0.09</f>
        <v>0.09</v>
      </c>
      <c r="AB397" s="26"/>
      <c r="AC397" s="26"/>
      <c r="AD397" s="26"/>
      <c r="AE397" s="26"/>
      <c r="AF397" s="47">
        <f>0.17</f>
        <v>0.17</v>
      </c>
      <c r="AG397" s="26"/>
      <c r="AH397" s="26"/>
      <c r="AI397" s="26"/>
      <c r="AJ397" s="26"/>
      <c r="AK397" s="26"/>
      <c r="AL397" s="26"/>
      <c r="AM397" s="26"/>
      <c r="AN397" s="26"/>
      <c r="AO397" s="26"/>
      <c r="AP397" s="47">
        <f>0.33</f>
        <v>0.33</v>
      </c>
      <c r="AQ397" s="26"/>
      <c r="AR397" s="26"/>
      <c r="AS397" s="26"/>
      <c r="AT397" s="26"/>
      <c r="AU397" s="26"/>
      <c r="AV397" s="26"/>
      <c r="AW397" s="26"/>
      <c r="AX397" s="26"/>
      <c r="AY397" s="26"/>
      <c r="AZ397" s="88">
        <f>0.5</f>
        <v>0.5</v>
      </c>
      <c r="BA397" s="5"/>
    </row>
    <row r="398" spans="1:53" ht="13" customHeight="1">
      <c r="A398" s="24" t="s">
        <v>309</v>
      </c>
      <c r="B398" s="24" t="s">
        <v>310</v>
      </c>
      <c r="C398" s="59"/>
      <c r="D398" s="39" t="s">
        <v>311</v>
      </c>
      <c r="E398" s="25" t="s">
        <v>257</v>
      </c>
      <c r="F398" s="25" t="s">
        <v>264</v>
      </c>
      <c r="G398" s="25" t="s">
        <v>259</v>
      </c>
      <c r="H398" s="38"/>
      <c r="I398" s="206" t="s">
        <v>364</v>
      </c>
      <c r="J398" s="202" t="s">
        <v>365</v>
      </c>
      <c r="K398" s="134">
        <f>1802.1</f>
        <v>1802.1</v>
      </c>
      <c r="L398" s="31">
        <f>1801.7</f>
        <v>1801.7</v>
      </c>
      <c r="M398" s="34">
        <f>1864</f>
        <v>1864</v>
      </c>
      <c r="N398" s="26"/>
      <c r="O398" s="26"/>
      <c r="P398" s="26"/>
      <c r="Q398" s="26">
        <f>1800.6</f>
        <v>1800.6</v>
      </c>
      <c r="R398" s="26"/>
      <c r="S398" s="26"/>
      <c r="T398" s="26"/>
      <c r="U398" s="26"/>
      <c r="V398" s="26">
        <f>1848.7</f>
        <v>1848.7</v>
      </c>
      <c r="W398" s="26"/>
      <c r="X398" s="26"/>
      <c r="Y398" s="26"/>
      <c r="Z398" s="26"/>
      <c r="AA398" s="26">
        <f>1816.4</f>
        <v>1816.4</v>
      </c>
      <c r="AB398" s="26"/>
      <c r="AC398" s="26"/>
      <c r="AD398" s="26"/>
      <c r="AE398" s="26"/>
      <c r="AF398" s="26">
        <f>1785.8</f>
        <v>1785.8</v>
      </c>
      <c r="AG398" s="26"/>
      <c r="AH398" s="26"/>
      <c r="AI398" s="26"/>
      <c r="AJ398" s="26"/>
      <c r="AK398" s="26"/>
      <c r="AL398" s="26"/>
      <c r="AM398" s="26"/>
      <c r="AN398" s="26"/>
      <c r="AO398" s="26"/>
      <c r="AP398" s="26">
        <f>1729.7</f>
        <v>1729.7</v>
      </c>
      <c r="AQ398" s="26"/>
      <c r="AR398" s="26"/>
      <c r="AS398" s="26"/>
      <c r="AT398" s="26"/>
      <c r="AU398" s="26"/>
      <c r="AV398" s="26"/>
      <c r="AW398" s="26"/>
      <c r="AX398" s="26"/>
      <c r="AY398" s="26"/>
      <c r="AZ398" s="32">
        <f>1681.9</f>
        <v>1681.9</v>
      </c>
      <c r="BA398" s="5"/>
    </row>
    <row r="399" spans="1:53" ht="13" customHeight="1">
      <c r="A399" s="24" t="s">
        <v>309</v>
      </c>
      <c r="B399" s="24" t="s">
        <v>310</v>
      </c>
      <c r="C399" s="73"/>
      <c r="D399" s="39" t="s">
        <v>311</v>
      </c>
      <c r="E399" s="25" t="s">
        <v>312</v>
      </c>
      <c r="F399" s="25" t="s">
        <v>264</v>
      </c>
      <c r="G399" s="25" t="s">
        <v>265</v>
      </c>
      <c r="H399" s="38"/>
      <c r="I399" s="206" t="s">
        <v>364</v>
      </c>
      <c r="J399" s="202" t="s">
        <v>366</v>
      </c>
      <c r="K399" s="134">
        <f>1802.1</f>
        <v>1802.1</v>
      </c>
      <c r="L399" s="31">
        <f>1801.7</f>
        <v>1801.7</v>
      </c>
      <c r="M399" s="34">
        <f>1864</f>
        <v>1864</v>
      </c>
      <c r="N399" s="26"/>
      <c r="O399" s="26"/>
      <c r="P399" s="26"/>
      <c r="Q399" s="26">
        <f>1800.6</f>
        <v>1800.6</v>
      </c>
      <c r="R399" s="26"/>
      <c r="S399" s="26"/>
      <c r="T399" s="26"/>
      <c r="U399" s="26"/>
      <c r="V399" s="26">
        <f>1848.7</f>
        <v>1848.7</v>
      </c>
      <c r="W399" s="26"/>
      <c r="X399" s="26"/>
      <c r="Y399" s="26"/>
      <c r="Z399" s="26"/>
      <c r="AA399" s="34">
        <f>1451</f>
        <v>1451</v>
      </c>
      <c r="AB399" s="26"/>
      <c r="AC399" s="26"/>
      <c r="AD399" s="26"/>
      <c r="AE399" s="26"/>
      <c r="AF399" s="26">
        <f>1119.3</f>
        <v>1119.3</v>
      </c>
      <c r="AG399" s="26"/>
      <c r="AH399" s="26"/>
      <c r="AI399" s="26"/>
      <c r="AJ399" s="26"/>
      <c r="AK399" s="26"/>
      <c r="AL399" s="26"/>
      <c r="AM399" s="26"/>
      <c r="AN399" s="26"/>
      <c r="AO399" s="26"/>
      <c r="AP399" s="26">
        <f>638.7</f>
        <v>638.70000000000005</v>
      </c>
      <c r="AQ399" s="26"/>
      <c r="AR399" s="26"/>
      <c r="AS399" s="26"/>
      <c r="AT399" s="26"/>
      <c r="AU399" s="26"/>
      <c r="AV399" s="26"/>
      <c r="AW399" s="26"/>
      <c r="AX399" s="26"/>
      <c r="AY399" s="26"/>
      <c r="AZ399" s="84">
        <v>286</v>
      </c>
      <c r="BA399" s="5"/>
    </row>
    <row r="400" spans="1:53" ht="13" customHeight="1">
      <c r="A400" s="24" t="s">
        <v>309</v>
      </c>
      <c r="B400" s="24" t="s">
        <v>310</v>
      </c>
      <c r="C400" s="59"/>
      <c r="D400" s="39" t="s">
        <v>311</v>
      </c>
      <c r="E400" s="25" t="s">
        <v>257</v>
      </c>
      <c r="F400" s="25" t="s">
        <v>264</v>
      </c>
      <c r="G400" s="25" t="s">
        <v>259</v>
      </c>
      <c r="H400" s="38"/>
      <c r="I400" s="200" t="s">
        <v>118</v>
      </c>
      <c r="J400" s="199" t="s">
        <v>141</v>
      </c>
      <c r="K400" s="134">
        <f>4.5</f>
        <v>4.5</v>
      </c>
      <c r="L400" s="31">
        <f>4.4</f>
        <v>4.4000000000000004</v>
      </c>
      <c r="M400" s="26">
        <f>4.5</f>
        <v>4.5</v>
      </c>
      <c r="N400" s="26"/>
      <c r="O400" s="26"/>
      <c r="P400" s="26"/>
      <c r="Q400" s="26">
        <f>6.3</f>
        <v>6.3</v>
      </c>
      <c r="R400" s="26"/>
      <c r="S400" s="26"/>
      <c r="T400" s="26"/>
      <c r="U400" s="26"/>
      <c r="V400" s="26">
        <f>9.5</f>
        <v>9.5</v>
      </c>
      <c r="W400" s="26"/>
      <c r="X400" s="26"/>
      <c r="Y400" s="26"/>
      <c r="Z400" s="26"/>
      <c r="AA400" s="26">
        <f>11.6</f>
        <v>11.6</v>
      </c>
      <c r="AB400" s="26"/>
      <c r="AC400" s="26"/>
      <c r="AD400" s="26"/>
      <c r="AE400" s="26"/>
      <c r="AF400" s="26">
        <f>13.7</f>
        <v>13.7</v>
      </c>
      <c r="AG400" s="26"/>
      <c r="AH400" s="26"/>
      <c r="AI400" s="26"/>
      <c r="AJ400" s="26"/>
      <c r="AK400" s="26"/>
      <c r="AL400" s="26"/>
      <c r="AM400" s="26"/>
      <c r="AN400" s="26"/>
      <c r="AO400" s="26"/>
      <c r="AP400" s="26">
        <f>15.6</f>
        <v>15.6</v>
      </c>
      <c r="AQ400" s="26"/>
      <c r="AR400" s="26"/>
      <c r="AS400" s="26"/>
      <c r="AT400" s="26"/>
      <c r="AU400" s="26"/>
      <c r="AV400" s="26"/>
      <c r="AW400" s="26"/>
      <c r="AX400" s="26"/>
      <c r="AY400" s="26"/>
      <c r="AZ400" s="84">
        <f>17</f>
        <v>17</v>
      </c>
      <c r="BA400" s="5"/>
    </row>
    <row r="401" spans="1:53" ht="13" customHeight="1">
      <c r="A401" s="24" t="s">
        <v>309</v>
      </c>
      <c r="B401" s="24" t="s">
        <v>310</v>
      </c>
      <c r="C401" s="73"/>
      <c r="D401" s="39" t="s">
        <v>311</v>
      </c>
      <c r="E401" s="25" t="s">
        <v>312</v>
      </c>
      <c r="F401" s="25" t="s">
        <v>264</v>
      </c>
      <c r="G401" s="25" t="s">
        <v>265</v>
      </c>
      <c r="H401" s="38"/>
      <c r="I401" s="200" t="s">
        <v>118</v>
      </c>
      <c r="J401" s="199" t="s">
        <v>141</v>
      </c>
      <c r="K401" s="134">
        <f>4.5</f>
        <v>4.5</v>
      </c>
      <c r="L401" s="31">
        <f>4.4</f>
        <v>4.4000000000000004</v>
      </c>
      <c r="M401" s="26">
        <f>4.5</f>
        <v>4.5</v>
      </c>
      <c r="N401" s="26"/>
      <c r="O401" s="26"/>
      <c r="P401" s="26"/>
      <c r="Q401" s="26">
        <f>6.3</f>
        <v>6.3</v>
      </c>
      <c r="R401" s="26"/>
      <c r="S401" s="26"/>
      <c r="T401" s="26"/>
      <c r="U401" s="26"/>
      <c r="V401" s="26">
        <f>9.5</f>
        <v>9.5</v>
      </c>
      <c r="W401" s="26"/>
      <c r="X401" s="26"/>
      <c r="Y401" s="26"/>
      <c r="Z401" s="26"/>
      <c r="AA401" s="26">
        <f>11.6</f>
        <v>11.6</v>
      </c>
      <c r="AB401" s="26"/>
      <c r="AC401" s="26"/>
      <c r="AD401" s="26"/>
      <c r="AE401" s="26"/>
      <c r="AF401" s="26">
        <f>13.7</f>
        <v>13.7</v>
      </c>
      <c r="AG401" s="26"/>
      <c r="AH401" s="26"/>
      <c r="AI401" s="26"/>
      <c r="AJ401" s="26"/>
      <c r="AK401" s="26"/>
      <c r="AL401" s="26"/>
      <c r="AM401" s="26"/>
      <c r="AN401" s="26"/>
      <c r="AO401" s="26"/>
      <c r="AP401" s="26">
        <f>15.6</f>
        <v>15.6</v>
      </c>
      <c r="AQ401" s="26"/>
      <c r="AR401" s="26"/>
      <c r="AS401" s="26"/>
      <c r="AT401" s="26"/>
      <c r="AU401" s="26"/>
      <c r="AV401" s="26"/>
      <c r="AW401" s="26"/>
      <c r="AX401" s="26"/>
      <c r="AY401" s="26"/>
      <c r="AZ401" s="84">
        <f>17</f>
        <v>17</v>
      </c>
      <c r="BA401" s="5"/>
    </row>
    <row r="402" spans="1:53" ht="13" customHeight="1">
      <c r="A402" s="24" t="s">
        <v>309</v>
      </c>
      <c r="B402" s="24" t="s">
        <v>310</v>
      </c>
      <c r="C402" s="59"/>
      <c r="D402" s="39" t="s">
        <v>311</v>
      </c>
      <c r="E402" s="25" t="s">
        <v>257</v>
      </c>
      <c r="F402" s="25" t="s">
        <v>264</v>
      </c>
      <c r="G402" s="25" t="s">
        <v>259</v>
      </c>
      <c r="H402" s="38"/>
      <c r="I402" s="206" t="s">
        <v>367</v>
      </c>
      <c r="J402" s="202" t="s">
        <v>368</v>
      </c>
      <c r="K402" s="134">
        <f>980.1</f>
        <v>980.1</v>
      </c>
      <c r="L402" s="31">
        <f>1044.5</f>
        <v>1044.5</v>
      </c>
      <c r="M402" s="26">
        <f>1014.3</f>
        <v>1014.3</v>
      </c>
      <c r="N402" s="26"/>
      <c r="O402" s="26"/>
      <c r="P402" s="26"/>
      <c r="Q402" s="26">
        <f>940.6</f>
        <v>940.6</v>
      </c>
      <c r="R402" s="26"/>
      <c r="S402" s="26"/>
      <c r="T402" s="26"/>
      <c r="U402" s="26"/>
      <c r="V402" s="26">
        <f>910.2</f>
        <v>910.2</v>
      </c>
      <c r="W402" s="26"/>
      <c r="X402" s="26"/>
      <c r="Y402" s="26"/>
      <c r="Z402" s="26"/>
      <c r="AA402" s="26">
        <f>873.5</f>
        <v>873.5</v>
      </c>
      <c r="AB402" s="26"/>
      <c r="AC402" s="26"/>
      <c r="AD402" s="26"/>
      <c r="AE402" s="26"/>
      <c r="AF402" s="26">
        <f>840.1</f>
        <v>840.1</v>
      </c>
      <c r="AG402" s="26"/>
      <c r="AH402" s="26"/>
      <c r="AI402" s="26"/>
      <c r="AJ402" s="26"/>
      <c r="AK402" s="26"/>
      <c r="AL402" s="26"/>
      <c r="AM402" s="26"/>
      <c r="AN402" s="26"/>
      <c r="AO402" s="26"/>
      <c r="AP402" s="26">
        <f>783.5</f>
        <v>783.5</v>
      </c>
      <c r="AQ402" s="26"/>
      <c r="AR402" s="26"/>
      <c r="AS402" s="26"/>
      <c r="AT402" s="26"/>
      <c r="AU402" s="26"/>
      <c r="AV402" s="26"/>
      <c r="AW402" s="26"/>
      <c r="AX402" s="26"/>
      <c r="AY402" s="26"/>
      <c r="AZ402" s="32">
        <f>743.7</f>
        <v>743.7</v>
      </c>
      <c r="BA402" s="5"/>
    </row>
    <row r="403" spans="1:53" ht="13" customHeight="1">
      <c r="A403" s="24" t="s">
        <v>309</v>
      </c>
      <c r="B403" s="24" t="s">
        <v>310</v>
      </c>
      <c r="C403" s="73"/>
      <c r="D403" s="39" t="s">
        <v>311</v>
      </c>
      <c r="E403" s="25" t="s">
        <v>312</v>
      </c>
      <c r="F403" s="25" t="s">
        <v>264</v>
      </c>
      <c r="G403" s="25" t="s">
        <v>265</v>
      </c>
      <c r="H403" s="38"/>
      <c r="I403" s="206" t="s">
        <v>367</v>
      </c>
      <c r="J403" s="202" t="s">
        <v>368</v>
      </c>
      <c r="K403" s="134">
        <f>980.1</f>
        <v>980.1</v>
      </c>
      <c r="L403" s="31">
        <f>1044.5</f>
        <v>1044.5</v>
      </c>
      <c r="M403" s="26">
        <f>1014.3</f>
        <v>1014.3</v>
      </c>
      <c r="N403" s="26"/>
      <c r="O403" s="26"/>
      <c r="P403" s="26"/>
      <c r="Q403" s="26">
        <f>940.6</f>
        <v>940.6</v>
      </c>
      <c r="R403" s="26"/>
      <c r="S403" s="26"/>
      <c r="T403" s="26"/>
      <c r="U403" s="26"/>
      <c r="V403" s="26">
        <f>910.2</f>
        <v>910.2</v>
      </c>
      <c r="W403" s="26"/>
      <c r="X403" s="26"/>
      <c r="Y403" s="26"/>
      <c r="Z403" s="26"/>
      <c r="AA403" s="26">
        <f>750.3</f>
        <v>750.3</v>
      </c>
      <c r="AB403" s="26"/>
      <c r="AC403" s="26"/>
      <c r="AD403" s="26"/>
      <c r="AE403" s="26"/>
      <c r="AF403" s="26">
        <f>611.5</f>
        <v>611.5</v>
      </c>
      <c r="AG403" s="26"/>
      <c r="AH403" s="26"/>
      <c r="AI403" s="26"/>
      <c r="AJ403" s="26"/>
      <c r="AK403" s="26"/>
      <c r="AL403" s="26"/>
      <c r="AM403" s="26"/>
      <c r="AN403" s="26"/>
      <c r="AO403" s="26"/>
      <c r="AP403" s="26">
        <f>420.1</f>
        <v>420.1</v>
      </c>
      <c r="AQ403" s="26"/>
      <c r="AR403" s="26"/>
      <c r="AS403" s="26"/>
      <c r="AT403" s="26"/>
      <c r="AU403" s="26"/>
      <c r="AV403" s="26"/>
      <c r="AW403" s="26"/>
      <c r="AX403" s="26"/>
      <c r="AY403" s="26"/>
      <c r="AZ403" s="32">
        <f>278.1</f>
        <v>278.10000000000002</v>
      </c>
      <c r="BA403" s="5"/>
    </row>
    <row r="404" spans="1:53" ht="13" customHeight="1">
      <c r="A404" s="24" t="s">
        <v>309</v>
      </c>
      <c r="B404" s="24" t="s">
        <v>310</v>
      </c>
      <c r="C404" s="59"/>
      <c r="D404" s="39" t="s">
        <v>311</v>
      </c>
      <c r="E404" s="25" t="s">
        <v>257</v>
      </c>
      <c r="F404" s="25" t="s">
        <v>264</v>
      </c>
      <c r="G404" s="25" t="s">
        <v>259</v>
      </c>
      <c r="H404" s="38"/>
      <c r="I404" s="198" t="s">
        <v>369</v>
      </c>
      <c r="J404" s="199" t="s">
        <v>141</v>
      </c>
      <c r="K404" s="134">
        <f>10.9</f>
        <v>10.9</v>
      </c>
      <c r="L404" s="31">
        <f>11.1</f>
        <v>11.1</v>
      </c>
      <c r="M404" s="34">
        <f>11</f>
        <v>11</v>
      </c>
      <c r="N404" s="26"/>
      <c r="O404" s="26"/>
      <c r="P404" s="26"/>
      <c r="Q404" s="26">
        <f>12.1</f>
        <v>12.1</v>
      </c>
      <c r="R404" s="26"/>
      <c r="S404" s="26"/>
      <c r="T404" s="26"/>
      <c r="U404" s="26"/>
      <c r="V404" s="26">
        <f>13.1</f>
        <v>13.1</v>
      </c>
      <c r="W404" s="26"/>
      <c r="X404" s="26"/>
      <c r="Y404" s="26"/>
      <c r="Z404" s="26"/>
      <c r="AA404" s="26">
        <f>15.9</f>
        <v>15.9</v>
      </c>
      <c r="AB404" s="26"/>
      <c r="AC404" s="26"/>
      <c r="AD404" s="26"/>
      <c r="AE404" s="26"/>
      <c r="AF404" s="26">
        <f>18.4</f>
        <v>18.399999999999999</v>
      </c>
      <c r="AG404" s="26"/>
      <c r="AH404" s="26"/>
      <c r="AI404" s="26"/>
      <c r="AJ404" s="26"/>
      <c r="AK404" s="26"/>
      <c r="AL404" s="26"/>
      <c r="AM404" s="26"/>
      <c r="AN404" s="26"/>
      <c r="AO404" s="26"/>
      <c r="AP404" s="26">
        <f>20.7</f>
        <v>20.7</v>
      </c>
      <c r="AQ404" s="26"/>
      <c r="AR404" s="26"/>
      <c r="AS404" s="26"/>
      <c r="AT404" s="26"/>
      <c r="AU404" s="26"/>
      <c r="AV404" s="26"/>
      <c r="AW404" s="26"/>
      <c r="AX404" s="26"/>
      <c r="AY404" s="26"/>
      <c r="AZ404" s="84">
        <f>23</f>
        <v>23</v>
      </c>
      <c r="BA404" s="5"/>
    </row>
    <row r="405" spans="1:53" ht="13" customHeight="1">
      <c r="A405" s="24" t="s">
        <v>309</v>
      </c>
      <c r="B405" s="24" t="s">
        <v>310</v>
      </c>
      <c r="C405" s="73"/>
      <c r="D405" s="39" t="s">
        <v>311</v>
      </c>
      <c r="E405" s="25" t="s">
        <v>312</v>
      </c>
      <c r="F405" s="25" t="s">
        <v>264</v>
      </c>
      <c r="G405" s="25" t="s">
        <v>265</v>
      </c>
      <c r="H405" s="38"/>
      <c r="I405" s="198" t="s">
        <v>369</v>
      </c>
      <c r="J405" s="199" t="s">
        <v>141</v>
      </c>
      <c r="K405" s="134">
        <f>10.9</f>
        <v>10.9</v>
      </c>
      <c r="L405" s="31">
        <f>11.1</f>
        <v>11.1</v>
      </c>
      <c r="M405" s="34">
        <f>11</f>
        <v>11</v>
      </c>
      <c r="N405" s="26"/>
      <c r="O405" s="26"/>
      <c r="P405" s="26"/>
      <c r="Q405" s="26">
        <f>12.1</f>
        <v>12.1</v>
      </c>
      <c r="R405" s="26"/>
      <c r="S405" s="26"/>
      <c r="T405" s="26"/>
      <c r="U405" s="26"/>
      <c r="V405" s="26">
        <f>13.1</f>
        <v>13.1</v>
      </c>
      <c r="W405" s="26"/>
      <c r="X405" s="26"/>
      <c r="Y405" s="26"/>
      <c r="Z405" s="26"/>
      <c r="AA405" s="26">
        <f>15.9</f>
        <v>15.9</v>
      </c>
      <c r="AB405" s="26"/>
      <c r="AC405" s="26"/>
      <c r="AD405" s="26"/>
      <c r="AE405" s="26"/>
      <c r="AF405" s="26">
        <f>18.4</f>
        <v>18.399999999999999</v>
      </c>
      <c r="AG405" s="26"/>
      <c r="AH405" s="26"/>
      <c r="AI405" s="26"/>
      <c r="AJ405" s="26"/>
      <c r="AK405" s="26"/>
      <c r="AL405" s="26"/>
      <c r="AM405" s="26"/>
      <c r="AN405" s="26"/>
      <c r="AO405" s="26"/>
      <c r="AP405" s="26">
        <f>20.7</f>
        <v>20.7</v>
      </c>
      <c r="AQ405" s="26"/>
      <c r="AR405" s="26"/>
      <c r="AS405" s="26"/>
      <c r="AT405" s="26"/>
      <c r="AU405" s="26"/>
      <c r="AV405" s="26"/>
      <c r="AW405" s="26"/>
      <c r="AX405" s="26"/>
      <c r="AY405" s="26"/>
      <c r="AZ405" s="84">
        <f>23</f>
        <v>23</v>
      </c>
      <c r="BA405" s="5"/>
    </row>
    <row r="406" spans="1:53" ht="13" customHeight="1">
      <c r="A406" s="24" t="s">
        <v>309</v>
      </c>
      <c r="B406" s="24" t="s">
        <v>310</v>
      </c>
      <c r="C406" s="59"/>
      <c r="D406" s="39" t="s">
        <v>311</v>
      </c>
      <c r="E406" s="25" t="s">
        <v>257</v>
      </c>
      <c r="F406" s="25" t="s">
        <v>264</v>
      </c>
      <c r="G406" s="25" t="s">
        <v>259</v>
      </c>
      <c r="H406" s="38"/>
      <c r="I406" s="206" t="s">
        <v>370</v>
      </c>
      <c r="J406" s="202" t="s">
        <v>371</v>
      </c>
      <c r="K406" s="134">
        <f>537.7</f>
        <v>537.70000000000005</v>
      </c>
      <c r="L406" s="31">
        <f>566.9</f>
        <v>566.9</v>
      </c>
      <c r="M406" s="26">
        <f>575.3</f>
        <v>575.29999999999995</v>
      </c>
      <c r="N406" s="26"/>
      <c r="O406" s="26"/>
      <c r="P406" s="26"/>
      <c r="Q406" s="26">
        <f>573.7</f>
        <v>573.70000000000005</v>
      </c>
      <c r="R406" s="26"/>
      <c r="S406" s="26"/>
      <c r="T406" s="26"/>
      <c r="U406" s="26"/>
      <c r="V406" s="26">
        <f>572.4</f>
        <v>572.4</v>
      </c>
      <c r="W406" s="26"/>
      <c r="X406" s="26"/>
      <c r="Y406" s="26"/>
      <c r="Z406" s="26"/>
      <c r="AA406" s="26">
        <f>565.4</f>
        <v>565.4</v>
      </c>
      <c r="AB406" s="26"/>
      <c r="AC406" s="26"/>
      <c r="AD406" s="26"/>
      <c r="AE406" s="26"/>
      <c r="AF406" s="26">
        <f>558.6</f>
        <v>558.6</v>
      </c>
      <c r="AG406" s="26"/>
      <c r="AH406" s="26"/>
      <c r="AI406" s="26"/>
      <c r="AJ406" s="26"/>
      <c r="AK406" s="26"/>
      <c r="AL406" s="26"/>
      <c r="AM406" s="26"/>
      <c r="AN406" s="26"/>
      <c r="AO406" s="26"/>
      <c r="AP406" s="26">
        <f>545.5</f>
        <v>545.5</v>
      </c>
      <c r="AQ406" s="26"/>
      <c r="AR406" s="26"/>
      <c r="AS406" s="26"/>
      <c r="AT406" s="26"/>
      <c r="AU406" s="26"/>
      <c r="AV406" s="26"/>
      <c r="AW406" s="26"/>
      <c r="AX406" s="26"/>
      <c r="AY406" s="26"/>
      <c r="AZ406" s="32">
        <f>533.1</f>
        <v>533.1</v>
      </c>
      <c r="BA406" s="5"/>
    </row>
    <row r="407" spans="1:53" ht="13" customHeight="1">
      <c r="A407" s="24" t="s">
        <v>309</v>
      </c>
      <c r="B407" s="24" t="s">
        <v>310</v>
      </c>
      <c r="C407" s="73"/>
      <c r="D407" s="39" t="s">
        <v>311</v>
      </c>
      <c r="E407" s="25" t="s">
        <v>312</v>
      </c>
      <c r="F407" s="25" t="s">
        <v>264</v>
      </c>
      <c r="G407" s="25" t="s">
        <v>265</v>
      </c>
      <c r="H407" s="38"/>
      <c r="I407" s="206" t="s">
        <v>370</v>
      </c>
      <c r="J407" s="202" t="s">
        <v>371</v>
      </c>
      <c r="K407" s="134">
        <f>537.7</f>
        <v>537.70000000000005</v>
      </c>
      <c r="L407" s="31">
        <f>566.9</f>
        <v>566.9</v>
      </c>
      <c r="M407" s="26">
        <f>575.3</f>
        <v>575.29999999999995</v>
      </c>
      <c r="N407" s="26"/>
      <c r="O407" s="26"/>
      <c r="P407" s="26"/>
      <c r="Q407" s="26">
        <f>573.7</f>
        <v>573.70000000000005</v>
      </c>
      <c r="R407" s="26"/>
      <c r="S407" s="26"/>
      <c r="T407" s="26"/>
      <c r="U407" s="26"/>
      <c r="V407" s="26">
        <f>572.4</f>
        <v>572.4</v>
      </c>
      <c r="W407" s="26"/>
      <c r="X407" s="26"/>
      <c r="Y407" s="26"/>
      <c r="Z407" s="26"/>
      <c r="AA407" s="26">
        <f>563.9</f>
        <v>563.9</v>
      </c>
      <c r="AB407" s="26"/>
      <c r="AC407" s="26"/>
      <c r="AD407" s="26"/>
      <c r="AE407" s="26"/>
      <c r="AF407" s="26">
        <f>556</f>
        <v>556</v>
      </c>
      <c r="AG407" s="26"/>
      <c r="AH407" s="26"/>
      <c r="AI407" s="26"/>
      <c r="AJ407" s="26"/>
      <c r="AK407" s="26"/>
      <c r="AL407" s="26"/>
      <c r="AM407" s="26"/>
      <c r="AN407" s="26"/>
      <c r="AO407" s="26"/>
      <c r="AP407" s="26">
        <f>541.9</f>
        <v>541.9</v>
      </c>
      <c r="AQ407" s="26"/>
      <c r="AR407" s="26"/>
      <c r="AS407" s="26"/>
      <c r="AT407" s="26"/>
      <c r="AU407" s="26"/>
      <c r="AV407" s="26"/>
      <c r="AW407" s="26"/>
      <c r="AX407" s="26"/>
      <c r="AY407" s="26"/>
      <c r="AZ407" s="32">
        <f>529.1</f>
        <v>529.1</v>
      </c>
      <c r="BA407" s="5"/>
    </row>
    <row r="408" spans="1:53" ht="13" customHeight="1">
      <c r="A408" s="24" t="s">
        <v>309</v>
      </c>
      <c r="B408" s="24" t="s">
        <v>310</v>
      </c>
      <c r="C408" s="59"/>
      <c r="D408" s="39" t="s">
        <v>311</v>
      </c>
      <c r="E408" s="25" t="s">
        <v>257</v>
      </c>
      <c r="F408" s="25" t="s">
        <v>264</v>
      </c>
      <c r="G408" s="25" t="s">
        <v>259</v>
      </c>
      <c r="H408" s="38"/>
      <c r="I408" s="198" t="s">
        <v>372</v>
      </c>
      <c r="J408" s="199" t="s">
        <v>141</v>
      </c>
      <c r="K408" s="134">
        <f>4.1</f>
        <v>4.0999999999999996</v>
      </c>
      <c r="L408" s="31">
        <f>4.2</f>
        <v>4.2</v>
      </c>
      <c r="M408" s="26">
        <f>4.4</f>
        <v>4.4000000000000004</v>
      </c>
      <c r="N408" s="26"/>
      <c r="O408" s="26"/>
      <c r="P408" s="26"/>
      <c r="Q408" s="26">
        <f>4.4</f>
        <v>4.4000000000000004</v>
      </c>
      <c r="R408" s="26"/>
      <c r="S408" s="26"/>
      <c r="T408" s="26"/>
      <c r="U408" s="26"/>
      <c r="V408" s="26">
        <f>4.6</f>
        <v>4.5999999999999996</v>
      </c>
      <c r="W408" s="26"/>
      <c r="X408" s="26"/>
      <c r="Y408" s="26"/>
      <c r="Z408" s="26"/>
      <c r="AA408" s="26">
        <f>5.5</f>
        <v>5.5</v>
      </c>
      <c r="AB408" s="26"/>
      <c r="AC408" s="26"/>
      <c r="AD408" s="26"/>
      <c r="AE408" s="26"/>
      <c r="AF408" s="26">
        <f>6.4</f>
        <v>6.4</v>
      </c>
      <c r="AG408" s="26"/>
      <c r="AH408" s="26"/>
      <c r="AI408" s="26"/>
      <c r="AJ408" s="26"/>
      <c r="AK408" s="26"/>
      <c r="AL408" s="26"/>
      <c r="AM408" s="26"/>
      <c r="AN408" s="26"/>
      <c r="AO408" s="26"/>
      <c r="AP408" s="26">
        <f>7.2</f>
        <v>7.2</v>
      </c>
      <c r="AQ408" s="26"/>
      <c r="AR408" s="26"/>
      <c r="AS408" s="26"/>
      <c r="AT408" s="26"/>
      <c r="AU408" s="26"/>
      <c r="AV408" s="26"/>
      <c r="AW408" s="26"/>
      <c r="AX408" s="26"/>
      <c r="AY408" s="26"/>
      <c r="AZ408" s="32">
        <f>8</f>
        <v>8</v>
      </c>
      <c r="BA408" s="5"/>
    </row>
    <row r="409" spans="1:53" ht="13" customHeight="1">
      <c r="A409" s="24" t="s">
        <v>309</v>
      </c>
      <c r="B409" s="24" t="s">
        <v>310</v>
      </c>
      <c r="C409" s="73"/>
      <c r="D409" s="39" t="s">
        <v>311</v>
      </c>
      <c r="E409" s="25" t="s">
        <v>312</v>
      </c>
      <c r="F409" s="25" t="s">
        <v>264</v>
      </c>
      <c r="G409" s="25" t="s">
        <v>265</v>
      </c>
      <c r="H409" s="38"/>
      <c r="I409" s="198" t="s">
        <v>372</v>
      </c>
      <c r="J409" s="199" t="s">
        <v>141</v>
      </c>
      <c r="K409" s="134">
        <f>4.1</f>
        <v>4.0999999999999996</v>
      </c>
      <c r="L409" s="31">
        <f>4.2</f>
        <v>4.2</v>
      </c>
      <c r="M409" s="26">
        <f>4.4</f>
        <v>4.4000000000000004</v>
      </c>
      <c r="N409" s="26"/>
      <c r="O409" s="26"/>
      <c r="P409" s="26"/>
      <c r="Q409" s="26">
        <f>4.4</f>
        <v>4.4000000000000004</v>
      </c>
      <c r="R409" s="26"/>
      <c r="S409" s="26"/>
      <c r="T409" s="26"/>
      <c r="U409" s="26"/>
      <c r="V409" s="26">
        <f>4.6</f>
        <v>4.5999999999999996</v>
      </c>
      <c r="W409" s="26"/>
      <c r="X409" s="26"/>
      <c r="Y409" s="26"/>
      <c r="Z409" s="26"/>
      <c r="AA409" s="26">
        <f>5.5</f>
        <v>5.5</v>
      </c>
      <c r="AB409" s="26"/>
      <c r="AC409" s="26"/>
      <c r="AD409" s="26"/>
      <c r="AE409" s="26"/>
      <c r="AF409" s="26">
        <f>6.4</f>
        <v>6.4</v>
      </c>
      <c r="AG409" s="26"/>
      <c r="AH409" s="26"/>
      <c r="AI409" s="26"/>
      <c r="AJ409" s="26"/>
      <c r="AK409" s="26"/>
      <c r="AL409" s="26"/>
      <c r="AM409" s="26"/>
      <c r="AN409" s="26"/>
      <c r="AO409" s="26"/>
      <c r="AP409" s="26">
        <f>7.2</f>
        <v>7.2</v>
      </c>
      <c r="AQ409" s="26"/>
      <c r="AR409" s="26"/>
      <c r="AS409" s="26"/>
      <c r="AT409" s="26"/>
      <c r="AU409" s="26"/>
      <c r="AV409" s="26"/>
      <c r="AW409" s="26"/>
      <c r="AX409" s="26"/>
      <c r="AY409" s="26"/>
      <c r="AZ409" s="32">
        <f>8</f>
        <v>8</v>
      </c>
      <c r="BA409" s="5"/>
    </row>
    <row r="410" spans="1:53" ht="13" customHeight="1">
      <c r="A410" s="24" t="s">
        <v>309</v>
      </c>
      <c r="B410" s="24" t="s">
        <v>310</v>
      </c>
      <c r="C410" s="59"/>
      <c r="D410" s="39" t="s">
        <v>311</v>
      </c>
      <c r="E410" s="25" t="s">
        <v>257</v>
      </c>
      <c r="F410" s="25" t="s">
        <v>264</v>
      </c>
      <c r="G410" s="25" t="s">
        <v>259</v>
      </c>
      <c r="H410" s="38"/>
      <c r="I410" s="206" t="s">
        <v>373</v>
      </c>
      <c r="J410" s="202" t="s">
        <v>374</v>
      </c>
      <c r="K410" s="134">
        <f>61.1</f>
        <v>61.1</v>
      </c>
      <c r="L410" s="31">
        <f>60.8</f>
        <v>60.8</v>
      </c>
      <c r="M410" s="26">
        <f>63.5</f>
        <v>63.5</v>
      </c>
      <c r="N410" s="26"/>
      <c r="O410" s="26"/>
      <c r="P410" s="26"/>
      <c r="Q410" s="26">
        <f>54.9</f>
        <v>54.9</v>
      </c>
      <c r="R410" s="26"/>
      <c r="S410" s="26"/>
      <c r="T410" s="26"/>
      <c r="U410" s="26"/>
      <c r="V410" s="26">
        <f>49.4</f>
        <v>49.4</v>
      </c>
      <c r="W410" s="26"/>
      <c r="X410" s="26"/>
      <c r="Y410" s="26"/>
      <c r="Z410" s="26"/>
      <c r="AA410" s="26">
        <f>43.8</f>
        <v>43.8</v>
      </c>
      <c r="AB410" s="26"/>
      <c r="AC410" s="26"/>
      <c r="AD410" s="26"/>
      <c r="AE410" s="26"/>
      <c r="AF410" s="26">
        <f>38.9</f>
        <v>38.9</v>
      </c>
      <c r="AG410" s="26"/>
      <c r="AH410" s="26"/>
      <c r="AI410" s="26"/>
      <c r="AJ410" s="26"/>
      <c r="AK410" s="26"/>
      <c r="AL410" s="26"/>
      <c r="AM410" s="26"/>
      <c r="AN410" s="26"/>
      <c r="AO410" s="26"/>
      <c r="AP410" s="26">
        <f>30.9</f>
        <v>30.9</v>
      </c>
      <c r="AQ410" s="26"/>
      <c r="AR410" s="26"/>
      <c r="AS410" s="26"/>
      <c r="AT410" s="26"/>
      <c r="AU410" s="26"/>
      <c r="AV410" s="26"/>
      <c r="AW410" s="26"/>
      <c r="AX410" s="26"/>
      <c r="AY410" s="26"/>
      <c r="AZ410" s="32">
        <f>25.9</f>
        <v>25.9</v>
      </c>
      <c r="BA410" s="5"/>
    </row>
    <row r="411" spans="1:53" ht="13" customHeight="1">
      <c r="A411" s="24" t="s">
        <v>309</v>
      </c>
      <c r="B411" s="24" t="s">
        <v>310</v>
      </c>
      <c r="C411" s="73"/>
      <c r="D411" s="39" t="s">
        <v>311</v>
      </c>
      <c r="E411" s="25" t="s">
        <v>312</v>
      </c>
      <c r="F411" s="25" t="s">
        <v>264</v>
      </c>
      <c r="G411" s="25" t="s">
        <v>265</v>
      </c>
      <c r="H411" s="38"/>
      <c r="I411" s="206" t="s">
        <v>373</v>
      </c>
      <c r="J411" s="202" t="s">
        <v>374</v>
      </c>
      <c r="K411" s="134">
        <f>61.1</f>
        <v>61.1</v>
      </c>
      <c r="L411" s="31">
        <f>60.8</f>
        <v>60.8</v>
      </c>
      <c r="M411" s="26">
        <f>63.5</f>
        <v>63.5</v>
      </c>
      <c r="N411" s="26"/>
      <c r="O411" s="26"/>
      <c r="P411" s="26"/>
      <c r="Q411" s="26">
        <f>54.9</f>
        <v>54.9</v>
      </c>
      <c r="R411" s="26"/>
      <c r="S411" s="26"/>
      <c r="T411" s="26"/>
      <c r="U411" s="26"/>
      <c r="V411" s="26">
        <f>49.4</f>
        <v>49.4</v>
      </c>
      <c r="W411" s="26"/>
      <c r="X411" s="26"/>
      <c r="Y411" s="26"/>
      <c r="Z411" s="26"/>
      <c r="AA411" s="26">
        <f>37.4</f>
        <v>37.4</v>
      </c>
      <c r="AB411" s="26"/>
      <c r="AC411" s="26"/>
      <c r="AD411" s="26"/>
      <c r="AE411" s="26"/>
      <c r="AF411" s="26">
        <f>27.9</f>
        <v>27.9</v>
      </c>
      <c r="AG411" s="26"/>
      <c r="AH411" s="26"/>
      <c r="AI411" s="26"/>
      <c r="AJ411" s="26"/>
      <c r="AK411" s="26"/>
      <c r="AL411" s="26"/>
      <c r="AM411" s="26"/>
      <c r="AN411" s="26"/>
      <c r="AO411" s="26"/>
      <c r="AP411" s="34">
        <f>16</f>
        <v>16</v>
      </c>
      <c r="AQ411" s="26"/>
      <c r="AR411" s="26"/>
      <c r="AS411" s="26"/>
      <c r="AT411" s="26"/>
      <c r="AU411" s="26"/>
      <c r="AV411" s="26"/>
      <c r="AW411" s="26"/>
      <c r="AX411" s="26"/>
      <c r="AY411" s="26"/>
      <c r="AZ411" s="32">
        <f>9.1</f>
        <v>9.1</v>
      </c>
      <c r="BA411" s="5"/>
    </row>
    <row r="412" spans="1:53" ht="13" customHeight="1">
      <c r="A412" s="24" t="s">
        <v>309</v>
      </c>
      <c r="B412" s="24" t="s">
        <v>310</v>
      </c>
      <c r="C412" s="59"/>
      <c r="D412" s="39" t="s">
        <v>311</v>
      </c>
      <c r="E412" s="25" t="s">
        <v>257</v>
      </c>
      <c r="F412" s="25" t="s">
        <v>264</v>
      </c>
      <c r="G412" s="25" t="s">
        <v>259</v>
      </c>
      <c r="H412" s="38"/>
      <c r="I412" s="198" t="s">
        <v>375</v>
      </c>
      <c r="J412" s="199" t="s">
        <v>141</v>
      </c>
      <c r="K412" s="134">
        <f>8.6</f>
        <v>8.6</v>
      </c>
      <c r="L412" s="31">
        <f>9.5</f>
        <v>9.5</v>
      </c>
      <c r="M412" s="26">
        <f>10.5</f>
        <v>10.5</v>
      </c>
      <c r="N412" s="26"/>
      <c r="O412" s="26"/>
      <c r="P412" s="26"/>
      <c r="Q412" s="26">
        <f>9.2</f>
        <v>9.1999999999999993</v>
      </c>
      <c r="R412" s="26"/>
      <c r="S412" s="26"/>
      <c r="T412" s="26"/>
      <c r="U412" s="26"/>
      <c r="V412" s="26">
        <f>14.3</f>
        <v>14.3</v>
      </c>
      <c r="W412" s="26"/>
      <c r="X412" s="26"/>
      <c r="Y412" s="26"/>
      <c r="Z412" s="26"/>
      <c r="AA412" s="26">
        <f>17.3</f>
        <v>17.3</v>
      </c>
      <c r="AB412" s="26"/>
      <c r="AC412" s="26"/>
      <c r="AD412" s="26"/>
      <c r="AE412" s="26"/>
      <c r="AF412" s="26">
        <f>20</f>
        <v>20</v>
      </c>
      <c r="AG412" s="26"/>
      <c r="AH412" s="26"/>
      <c r="AI412" s="26"/>
      <c r="AJ412" s="26"/>
      <c r="AK412" s="26"/>
      <c r="AL412" s="26"/>
      <c r="AM412" s="26"/>
      <c r="AN412" s="26"/>
      <c r="AO412" s="26"/>
      <c r="AP412" s="26">
        <f>22.6</f>
        <v>22.6</v>
      </c>
      <c r="AQ412" s="26"/>
      <c r="AR412" s="26"/>
      <c r="AS412" s="26"/>
      <c r="AT412" s="26"/>
      <c r="AU412" s="26"/>
      <c r="AV412" s="26"/>
      <c r="AW412" s="26"/>
      <c r="AX412" s="26"/>
      <c r="AY412" s="26"/>
      <c r="AZ412" s="32">
        <f>25.1</f>
        <v>25.1</v>
      </c>
      <c r="BA412" s="5"/>
    </row>
    <row r="413" spans="1:53" ht="13" customHeight="1">
      <c r="A413" s="24" t="s">
        <v>309</v>
      </c>
      <c r="B413" s="24" t="s">
        <v>310</v>
      </c>
      <c r="C413" s="73"/>
      <c r="D413" s="39" t="s">
        <v>311</v>
      </c>
      <c r="E413" s="25" t="s">
        <v>312</v>
      </c>
      <c r="F413" s="25" t="s">
        <v>264</v>
      </c>
      <c r="G413" s="25" t="s">
        <v>265</v>
      </c>
      <c r="H413" s="38"/>
      <c r="I413" s="198" t="s">
        <v>375</v>
      </c>
      <c r="J413" s="199" t="s">
        <v>141</v>
      </c>
      <c r="K413" s="134">
        <f>8.6</f>
        <v>8.6</v>
      </c>
      <c r="L413" s="31">
        <f>9.5</f>
        <v>9.5</v>
      </c>
      <c r="M413" s="26">
        <f>10.5</f>
        <v>10.5</v>
      </c>
      <c r="N413" s="26"/>
      <c r="O413" s="26"/>
      <c r="P413" s="26"/>
      <c r="Q413" s="26">
        <f>9.2</f>
        <v>9.1999999999999993</v>
      </c>
      <c r="R413" s="26"/>
      <c r="S413" s="26"/>
      <c r="T413" s="26"/>
      <c r="U413" s="26"/>
      <c r="V413" s="26">
        <f>14.3</f>
        <v>14.3</v>
      </c>
      <c r="W413" s="26"/>
      <c r="X413" s="26"/>
      <c r="Y413" s="26"/>
      <c r="Z413" s="26"/>
      <c r="AA413" s="26">
        <f>17.3</f>
        <v>17.3</v>
      </c>
      <c r="AB413" s="26"/>
      <c r="AC413" s="26"/>
      <c r="AD413" s="26"/>
      <c r="AE413" s="26"/>
      <c r="AF413" s="26">
        <f>20</f>
        <v>20</v>
      </c>
      <c r="AG413" s="26"/>
      <c r="AH413" s="26"/>
      <c r="AI413" s="26"/>
      <c r="AJ413" s="26"/>
      <c r="AK413" s="26"/>
      <c r="AL413" s="26"/>
      <c r="AM413" s="26"/>
      <c r="AN413" s="26"/>
      <c r="AO413" s="26"/>
      <c r="AP413" s="26">
        <f>22.6</f>
        <v>22.6</v>
      </c>
      <c r="AQ413" s="26"/>
      <c r="AR413" s="26"/>
      <c r="AS413" s="26"/>
      <c r="AT413" s="26"/>
      <c r="AU413" s="26"/>
      <c r="AV413" s="26"/>
      <c r="AW413" s="26"/>
      <c r="AX413" s="26"/>
      <c r="AY413" s="26"/>
      <c r="AZ413" s="32">
        <f>25.1</f>
        <v>25.1</v>
      </c>
      <c r="BA413" s="5"/>
    </row>
    <row r="414" spans="1:53" ht="13" customHeight="1">
      <c r="A414" s="24" t="s">
        <v>309</v>
      </c>
      <c r="B414" s="24" t="s">
        <v>310</v>
      </c>
      <c r="C414" s="59"/>
      <c r="D414" s="39" t="s">
        <v>311</v>
      </c>
      <c r="E414" s="25" t="s">
        <v>257</v>
      </c>
      <c r="F414" s="25" t="s">
        <v>264</v>
      </c>
      <c r="G414" s="25" t="s">
        <v>259</v>
      </c>
      <c r="H414" s="38"/>
      <c r="I414" s="206" t="s">
        <v>376</v>
      </c>
      <c r="J414" s="202" t="s">
        <v>374</v>
      </c>
      <c r="K414" s="134">
        <f>34.4</f>
        <v>34.4</v>
      </c>
      <c r="L414" s="31">
        <f>32.7</f>
        <v>32.700000000000003</v>
      </c>
      <c r="M414" s="26">
        <f>31.8</f>
        <v>31.8</v>
      </c>
      <c r="N414" s="26"/>
      <c r="O414" s="26"/>
      <c r="P414" s="26"/>
      <c r="Q414" s="26">
        <f>28.8</f>
        <v>28.8</v>
      </c>
      <c r="R414" s="26"/>
      <c r="S414" s="26"/>
      <c r="T414" s="26"/>
      <c r="U414" s="26"/>
      <c r="V414" s="26">
        <f>25.9</f>
        <v>25.9</v>
      </c>
      <c r="W414" s="26"/>
      <c r="X414" s="26"/>
      <c r="Y414" s="26"/>
      <c r="Z414" s="26"/>
      <c r="AA414" s="26">
        <f>23</f>
        <v>23</v>
      </c>
      <c r="AB414" s="26"/>
      <c r="AC414" s="26"/>
      <c r="AD414" s="26"/>
      <c r="AE414" s="26"/>
      <c r="AF414" s="26">
        <f>20.4</f>
        <v>20.399999999999999</v>
      </c>
      <c r="AG414" s="26"/>
      <c r="AH414" s="26"/>
      <c r="AI414" s="26"/>
      <c r="AJ414" s="26"/>
      <c r="AK414" s="26"/>
      <c r="AL414" s="26"/>
      <c r="AM414" s="26"/>
      <c r="AN414" s="26"/>
      <c r="AO414" s="26"/>
      <c r="AP414" s="26">
        <f>16.2</f>
        <v>16.2</v>
      </c>
      <c r="AQ414" s="26"/>
      <c r="AR414" s="26"/>
      <c r="AS414" s="26"/>
      <c r="AT414" s="26"/>
      <c r="AU414" s="26"/>
      <c r="AV414" s="26"/>
      <c r="AW414" s="26"/>
      <c r="AX414" s="26"/>
      <c r="AY414" s="26"/>
      <c r="AZ414" s="32">
        <f>13.6</f>
        <v>13.6</v>
      </c>
      <c r="BA414" s="5"/>
    </row>
    <row r="415" spans="1:53" ht="13" customHeight="1">
      <c r="A415" s="24" t="s">
        <v>309</v>
      </c>
      <c r="B415" s="24" t="s">
        <v>310</v>
      </c>
      <c r="C415" s="73"/>
      <c r="D415" s="39" t="s">
        <v>311</v>
      </c>
      <c r="E415" s="25" t="s">
        <v>312</v>
      </c>
      <c r="F415" s="25" t="s">
        <v>264</v>
      </c>
      <c r="G415" s="25" t="s">
        <v>265</v>
      </c>
      <c r="H415" s="38"/>
      <c r="I415" s="206" t="s">
        <v>376</v>
      </c>
      <c r="J415" s="202" t="s">
        <v>374</v>
      </c>
      <c r="K415" s="134">
        <f>34.4</f>
        <v>34.4</v>
      </c>
      <c r="L415" s="31">
        <f>32.7</f>
        <v>32.700000000000003</v>
      </c>
      <c r="M415" s="26">
        <f>31.8</f>
        <v>31.8</v>
      </c>
      <c r="N415" s="26"/>
      <c r="O415" s="26"/>
      <c r="P415" s="26"/>
      <c r="Q415" s="26">
        <f>28.8</f>
        <v>28.8</v>
      </c>
      <c r="R415" s="26"/>
      <c r="S415" s="26"/>
      <c r="T415" s="26"/>
      <c r="U415" s="26"/>
      <c r="V415" s="26">
        <f>25.9</f>
        <v>25.9</v>
      </c>
      <c r="W415" s="26"/>
      <c r="X415" s="26"/>
      <c r="Y415" s="26"/>
      <c r="Z415" s="26"/>
      <c r="AA415" s="26">
        <f>19.6</f>
        <v>19.600000000000001</v>
      </c>
      <c r="AB415" s="26"/>
      <c r="AC415" s="26"/>
      <c r="AD415" s="26"/>
      <c r="AE415" s="26"/>
      <c r="AF415" s="26">
        <f>14.6</f>
        <v>14.6</v>
      </c>
      <c r="AG415" s="26"/>
      <c r="AH415" s="26"/>
      <c r="AI415" s="26"/>
      <c r="AJ415" s="26"/>
      <c r="AK415" s="26"/>
      <c r="AL415" s="26"/>
      <c r="AM415" s="26"/>
      <c r="AN415" s="26"/>
      <c r="AO415" s="26"/>
      <c r="AP415" s="26">
        <f>8.4</f>
        <v>8.4</v>
      </c>
      <c r="AQ415" s="26"/>
      <c r="AR415" s="26"/>
      <c r="AS415" s="26"/>
      <c r="AT415" s="26"/>
      <c r="AU415" s="26"/>
      <c r="AV415" s="26"/>
      <c r="AW415" s="26"/>
      <c r="AX415" s="26"/>
      <c r="AY415" s="26"/>
      <c r="AZ415" s="32">
        <f>4.8</f>
        <v>4.8</v>
      </c>
      <c r="BA415" s="5"/>
    </row>
    <row r="416" spans="1:53" ht="13" customHeight="1">
      <c r="A416" s="24" t="s">
        <v>309</v>
      </c>
      <c r="B416" s="24" t="s">
        <v>310</v>
      </c>
      <c r="C416" s="59"/>
      <c r="D416" s="39" t="s">
        <v>311</v>
      </c>
      <c r="E416" s="25" t="s">
        <v>257</v>
      </c>
      <c r="F416" s="25" t="s">
        <v>264</v>
      </c>
      <c r="G416" s="25" t="s">
        <v>259</v>
      </c>
      <c r="H416" s="38"/>
      <c r="I416" s="177" t="s">
        <v>377</v>
      </c>
      <c r="J416" s="202" t="s">
        <v>267</v>
      </c>
      <c r="K416" s="134">
        <f>59</f>
        <v>59</v>
      </c>
      <c r="L416" s="31">
        <f>61.9</f>
        <v>61.9</v>
      </c>
      <c r="M416" s="26">
        <f>61.4</f>
        <v>61.4</v>
      </c>
      <c r="N416" s="26"/>
      <c r="O416" s="26"/>
      <c r="P416" s="26"/>
      <c r="Q416" s="26">
        <f>62.4</f>
        <v>62.4</v>
      </c>
      <c r="R416" s="26"/>
      <c r="S416" s="26"/>
      <c r="T416" s="26"/>
      <c r="U416" s="26"/>
      <c r="V416" s="26">
        <f>67.3</f>
        <v>67.3</v>
      </c>
      <c r="W416" s="26"/>
      <c r="X416" s="26"/>
      <c r="Y416" s="26"/>
      <c r="Z416" s="26"/>
      <c r="AA416" s="26">
        <f>69.9</f>
        <v>69.900000000000006</v>
      </c>
      <c r="AB416" s="26"/>
      <c r="AC416" s="26"/>
      <c r="AD416" s="26"/>
      <c r="AE416" s="26"/>
      <c r="AF416" s="26">
        <f>72.7</f>
        <v>72.7</v>
      </c>
      <c r="AG416" s="26"/>
      <c r="AH416" s="26"/>
      <c r="AI416" s="26"/>
      <c r="AJ416" s="26"/>
      <c r="AK416" s="26"/>
      <c r="AL416" s="26"/>
      <c r="AM416" s="26"/>
      <c r="AN416" s="26"/>
      <c r="AO416" s="26"/>
      <c r="AP416" s="26">
        <f>76.7</f>
        <v>76.7</v>
      </c>
      <c r="AQ416" s="26"/>
      <c r="AR416" s="26"/>
      <c r="AS416" s="26"/>
      <c r="AT416" s="26"/>
      <c r="AU416" s="26"/>
      <c r="AV416" s="26"/>
      <c r="AW416" s="26"/>
      <c r="AX416" s="26"/>
      <c r="AY416" s="26"/>
      <c r="AZ416" s="32">
        <f>78.7</f>
        <v>78.7</v>
      </c>
      <c r="BA416" s="5"/>
    </row>
    <row r="417" spans="1:53" ht="13" customHeight="1">
      <c r="A417" s="24" t="s">
        <v>309</v>
      </c>
      <c r="B417" s="24" t="s">
        <v>310</v>
      </c>
      <c r="C417" s="73"/>
      <c r="D417" s="39" t="s">
        <v>311</v>
      </c>
      <c r="E417" s="25" t="s">
        <v>312</v>
      </c>
      <c r="F417" s="25" t="s">
        <v>264</v>
      </c>
      <c r="G417" s="25" t="s">
        <v>265</v>
      </c>
      <c r="H417" s="38"/>
      <c r="I417" s="206" t="s">
        <v>377</v>
      </c>
      <c r="J417" s="202" t="s">
        <v>267</v>
      </c>
      <c r="K417" s="134">
        <f>59</f>
        <v>59</v>
      </c>
      <c r="L417" s="31">
        <f>61.9</f>
        <v>61.9</v>
      </c>
      <c r="M417" s="26">
        <f>61.4</f>
        <v>61.4</v>
      </c>
      <c r="N417" s="26"/>
      <c r="O417" s="26"/>
      <c r="P417" s="26"/>
      <c r="Q417" s="26">
        <f>62.4</f>
        <v>62.4</v>
      </c>
      <c r="R417" s="26"/>
      <c r="S417" s="26"/>
      <c r="T417" s="26"/>
      <c r="U417" s="26"/>
      <c r="V417" s="26">
        <f>67.2</f>
        <v>67.2</v>
      </c>
      <c r="W417" s="26"/>
      <c r="X417" s="26"/>
      <c r="Y417" s="26"/>
      <c r="Z417" s="26"/>
      <c r="AA417" s="26">
        <f>68.2</f>
        <v>68.2</v>
      </c>
      <c r="AB417" s="26"/>
      <c r="AC417" s="26"/>
      <c r="AD417" s="26"/>
      <c r="AE417" s="26"/>
      <c r="AF417" s="26">
        <f>68.6</f>
        <v>68.599999999999994</v>
      </c>
      <c r="AG417" s="26"/>
      <c r="AH417" s="26"/>
      <c r="AI417" s="26"/>
      <c r="AJ417" s="26"/>
      <c r="AK417" s="26"/>
      <c r="AL417" s="26"/>
      <c r="AM417" s="26"/>
      <c r="AN417" s="26"/>
      <c r="AO417" s="26"/>
      <c r="AP417" s="26">
        <f>68.1</f>
        <v>68.099999999999994</v>
      </c>
      <c r="AQ417" s="26"/>
      <c r="AR417" s="26"/>
      <c r="AS417" s="26"/>
      <c r="AT417" s="26"/>
      <c r="AU417" s="26"/>
      <c r="AV417" s="26"/>
      <c r="AW417" s="26"/>
      <c r="AX417" s="26"/>
      <c r="AY417" s="26"/>
      <c r="AZ417" s="32">
        <f>61.7</f>
        <v>61.7</v>
      </c>
      <c r="BA417" s="5"/>
    </row>
    <row r="418" spans="1:53" ht="13" customHeight="1">
      <c r="A418" s="24" t="s">
        <v>309</v>
      </c>
      <c r="B418" s="24" t="s">
        <v>310</v>
      </c>
      <c r="C418" s="59"/>
      <c r="D418" s="39" t="s">
        <v>311</v>
      </c>
      <c r="E418" s="25" t="s">
        <v>257</v>
      </c>
      <c r="F418" s="25" t="s">
        <v>264</v>
      </c>
      <c r="G418" s="25" t="s">
        <v>259</v>
      </c>
      <c r="H418" s="38"/>
      <c r="I418" s="200" t="s">
        <v>378</v>
      </c>
      <c r="J418" s="199" t="s">
        <v>141</v>
      </c>
      <c r="K418" s="134">
        <f>41.8</f>
        <v>41.8</v>
      </c>
      <c r="L418" s="31">
        <f>40.1</f>
        <v>40.1</v>
      </c>
      <c r="M418" s="26">
        <f>41.7</f>
        <v>41.7</v>
      </c>
      <c r="N418" s="26"/>
      <c r="O418" s="26"/>
      <c r="P418" s="26"/>
      <c r="Q418" s="26">
        <f>43.7</f>
        <v>43.7</v>
      </c>
      <c r="R418" s="26"/>
      <c r="S418" s="26"/>
      <c r="T418" s="26"/>
      <c r="U418" s="26"/>
      <c r="V418" s="26">
        <v>50.9</v>
      </c>
      <c r="W418" s="26"/>
      <c r="X418" s="26"/>
      <c r="Y418" s="26"/>
      <c r="Z418" s="26"/>
      <c r="AA418" s="26">
        <f>55.5</f>
        <v>55.5</v>
      </c>
      <c r="AB418" s="26"/>
      <c r="AC418" s="26"/>
      <c r="AD418" s="26"/>
      <c r="AE418" s="26"/>
      <c r="AF418" s="26">
        <f>60.5</f>
        <v>60.5</v>
      </c>
      <c r="AG418" s="26"/>
      <c r="AH418" s="26"/>
      <c r="AI418" s="26"/>
      <c r="AJ418" s="26"/>
      <c r="AK418" s="26"/>
      <c r="AL418" s="26"/>
      <c r="AM418" s="26"/>
      <c r="AN418" s="26"/>
      <c r="AO418" s="26"/>
      <c r="AP418" s="26">
        <f>68.8</f>
        <v>68.8</v>
      </c>
      <c r="AQ418" s="26"/>
      <c r="AR418" s="26"/>
      <c r="AS418" s="26"/>
      <c r="AT418" s="26"/>
      <c r="AU418" s="26"/>
      <c r="AV418" s="26"/>
      <c r="AW418" s="26"/>
      <c r="AX418" s="26"/>
      <c r="AY418" s="26"/>
      <c r="AZ418" s="32">
        <f>75.1</f>
        <v>75.099999999999994</v>
      </c>
      <c r="BA418" s="5"/>
    </row>
    <row r="419" spans="1:53" ht="13" customHeight="1">
      <c r="A419" s="24" t="s">
        <v>309</v>
      </c>
      <c r="B419" s="24" t="s">
        <v>310</v>
      </c>
      <c r="C419" s="73"/>
      <c r="D419" s="39" t="s">
        <v>311</v>
      </c>
      <c r="E419" s="25" t="s">
        <v>312</v>
      </c>
      <c r="F419" s="25" t="s">
        <v>264</v>
      </c>
      <c r="G419" s="25" t="s">
        <v>265</v>
      </c>
      <c r="H419" s="38"/>
      <c r="I419" s="200" t="s">
        <v>378</v>
      </c>
      <c r="J419" s="199" t="s">
        <v>141</v>
      </c>
      <c r="K419" s="134">
        <f>41.8</f>
        <v>41.8</v>
      </c>
      <c r="L419" s="31">
        <f>40.1</f>
        <v>40.1</v>
      </c>
      <c r="M419" s="26">
        <f>41.7</f>
        <v>41.7</v>
      </c>
      <c r="N419" s="26"/>
      <c r="O419" s="26"/>
      <c r="P419" s="26"/>
      <c r="Q419" s="26">
        <f>43.7</f>
        <v>43.7</v>
      </c>
      <c r="R419" s="26"/>
      <c r="S419" s="26"/>
      <c r="T419" s="26"/>
      <c r="U419" s="26"/>
      <c r="V419" s="26">
        <v>50.9</v>
      </c>
      <c r="W419" s="26"/>
      <c r="X419" s="26"/>
      <c r="Y419" s="26"/>
      <c r="Z419" s="26"/>
      <c r="AA419" s="26">
        <f>55.5</f>
        <v>55.5</v>
      </c>
      <c r="AB419" s="26"/>
      <c r="AC419" s="26"/>
      <c r="AD419" s="26"/>
      <c r="AE419" s="26"/>
      <c r="AF419" s="26">
        <f>60.5</f>
        <v>60.5</v>
      </c>
      <c r="AG419" s="26"/>
      <c r="AH419" s="26"/>
      <c r="AI419" s="26"/>
      <c r="AJ419" s="26"/>
      <c r="AK419" s="26"/>
      <c r="AL419" s="26"/>
      <c r="AM419" s="26"/>
      <c r="AN419" s="26"/>
      <c r="AO419" s="26"/>
      <c r="AP419" s="26">
        <f>68.8</f>
        <v>68.8</v>
      </c>
      <c r="AQ419" s="26"/>
      <c r="AR419" s="26"/>
      <c r="AS419" s="26"/>
      <c r="AT419" s="26"/>
      <c r="AU419" s="26"/>
      <c r="AV419" s="26"/>
      <c r="AW419" s="26"/>
      <c r="AX419" s="26"/>
      <c r="AY419" s="26"/>
      <c r="AZ419" s="32">
        <f>75.1</f>
        <v>75.099999999999994</v>
      </c>
      <c r="BA419" s="5"/>
    </row>
    <row r="420" spans="1:53" ht="13" customHeight="1">
      <c r="A420" s="24" t="s">
        <v>309</v>
      </c>
      <c r="B420" s="24" t="s">
        <v>310</v>
      </c>
      <c r="C420" s="59"/>
      <c r="D420" s="39" t="s">
        <v>311</v>
      </c>
      <c r="E420" s="25" t="s">
        <v>257</v>
      </c>
      <c r="F420" s="25" t="s">
        <v>264</v>
      </c>
      <c r="G420" s="25" t="s">
        <v>259</v>
      </c>
      <c r="H420" s="38"/>
      <c r="I420" s="206" t="s">
        <v>379</v>
      </c>
      <c r="J420" s="202" t="s">
        <v>380</v>
      </c>
      <c r="K420" s="134">
        <f>714.8</f>
        <v>714.8</v>
      </c>
      <c r="L420" s="31">
        <f>734.5</f>
        <v>734.5</v>
      </c>
      <c r="M420" s="26">
        <f>752.3</f>
        <v>752.3</v>
      </c>
      <c r="N420" s="26"/>
      <c r="O420" s="26"/>
      <c r="P420" s="26"/>
      <c r="Q420" s="26">
        <f>740.3</f>
        <v>740.3</v>
      </c>
      <c r="R420" s="26"/>
      <c r="S420" s="26"/>
      <c r="T420" s="26"/>
      <c r="U420" s="26"/>
      <c r="V420" s="26">
        <f>724.3</f>
        <v>724.3</v>
      </c>
      <c r="W420" s="26"/>
      <c r="X420" s="26"/>
      <c r="Y420" s="26"/>
      <c r="Z420" s="26"/>
      <c r="AA420" s="26">
        <f>707.2</f>
        <v>707.2</v>
      </c>
      <c r="AB420" s="26"/>
      <c r="AC420" s="26"/>
      <c r="AD420" s="26"/>
      <c r="AE420" s="26"/>
      <c r="AF420" s="26">
        <f>692.1</f>
        <v>692.1</v>
      </c>
      <c r="AG420" s="26"/>
      <c r="AH420" s="26"/>
      <c r="AI420" s="26"/>
      <c r="AJ420" s="26"/>
      <c r="AK420" s="26"/>
      <c r="AL420" s="26"/>
      <c r="AM420" s="26"/>
      <c r="AN420" s="26"/>
      <c r="AO420" s="26"/>
      <c r="AP420" s="34">
        <f>662</f>
        <v>662</v>
      </c>
      <c r="AQ420" s="26"/>
      <c r="AR420" s="26"/>
      <c r="AS420" s="26"/>
      <c r="AT420" s="26"/>
      <c r="AU420" s="26"/>
      <c r="AV420" s="26"/>
      <c r="AW420" s="26"/>
      <c r="AX420" s="26"/>
      <c r="AY420" s="26"/>
      <c r="AZ420" s="32">
        <f>631.9</f>
        <v>631.9</v>
      </c>
      <c r="BA420" s="5"/>
    </row>
    <row r="421" spans="1:53" ht="13" customHeight="1">
      <c r="A421" s="24" t="s">
        <v>309</v>
      </c>
      <c r="B421" s="24" t="s">
        <v>310</v>
      </c>
      <c r="C421" s="73"/>
      <c r="D421" s="39" t="s">
        <v>311</v>
      </c>
      <c r="E421" s="25" t="s">
        <v>312</v>
      </c>
      <c r="F421" s="25" t="s">
        <v>264</v>
      </c>
      <c r="G421" s="25" t="s">
        <v>265</v>
      </c>
      <c r="H421" s="38"/>
      <c r="I421" s="206" t="s">
        <v>379</v>
      </c>
      <c r="J421" s="202" t="s">
        <v>380</v>
      </c>
      <c r="K421" s="134">
        <f>714.8</f>
        <v>714.8</v>
      </c>
      <c r="L421" s="31">
        <f>734.5</f>
        <v>734.5</v>
      </c>
      <c r="M421" s="26">
        <f>752.3</f>
        <v>752.3</v>
      </c>
      <c r="N421" s="26"/>
      <c r="O421" s="26"/>
      <c r="P421" s="26"/>
      <c r="Q421" s="26">
        <f>740.3</f>
        <v>740.3</v>
      </c>
      <c r="R421" s="26"/>
      <c r="S421" s="26"/>
      <c r="T421" s="26"/>
      <c r="U421" s="26"/>
      <c r="V421" s="26">
        <f>722.2</f>
        <v>722.2</v>
      </c>
      <c r="W421" s="26"/>
      <c r="X421" s="26"/>
      <c r="Y421" s="26"/>
      <c r="Z421" s="26"/>
      <c r="AA421" s="26">
        <f>687.9</f>
        <v>687.9</v>
      </c>
      <c r="AB421" s="26"/>
      <c r="AC421" s="26"/>
      <c r="AD421" s="26"/>
      <c r="AE421" s="26"/>
      <c r="AF421" s="26">
        <f>649.8</f>
        <v>649.79999999999995</v>
      </c>
      <c r="AG421" s="26"/>
      <c r="AH421" s="26"/>
      <c r="AI421" s="26"/>
      <c r="AJ421" s="26"/>
      <c r="AK421" s="26"/>
      <c r="AL421" s="26"/>
      <c r="AM421" s="26"/>
      <c r="AN421" s="26"/>
      <c r="AO421" s="26"/>
      <c r="AP421" s="26">
        <f>581.9</f>
        <v>581.9</v>
      </c>
      <c r="AQ421" s="26"/>
      <c r="AR421" s="26"/>
      <c r="AS421" s="26"/>
      <c r="AT421" s="26"/>
      <c r="AU421" s="26"/>
      <c r="AV421" s="26"/>
      <c r="AW421" s="26"/>
      <c r="AX421" s="26"/>
      <c r="AY421" s="26"/>
      <c r="AZ421" s="32">
        <f>487.8</f>
        <v>487.8</v>
      </c>
      <c r="BA421" s="5"/>
    </row>
    <row r="422" spans="1:53" ht="13" customHeight="1">
      <c r="A422" s="24" t="s">
        <v>309</v>
      </c>
      <c r="B422" s="24" t="s">
        <v>310</v>
      </c>
      <c r="C422" s="59"/>
      <c r="D422" s="39" t="s">
        <v>311</v>
      </c>
      <c r="E422" s="25" t="s">
        <v>257</v>
      </c>
      <c r="F422" s="25" t="s">
        <v>264</v>
      </c>
      <c r="G422" s="25" t="s">
        <v>259</v>
      </c>
      <c r="H422" s="38"/>
      <c r="I422" s="200" t="s">
        <v>128</v>
      </c>
      <c r="J422" s="199" t="s">
        <v>141</v>
      </c>
      <c r="K422" s="134">
        <f>57</f>
        <v>57</v>
      </c>
      <c r="L422" s="31">
        <f>55.2</f>
        <v>55.2</v>
      </c>
      <c r="M422" s="26">
        <f>57.4</f>
        <v>57.4</v>
      </c>
      <c r="N422" s="26"/>
      <c r="O422" s="26"/>
      <c r="P422" s="26"/>
      <c r="Q422" s="26">
        <f>60.1</f>
        <v>60.1</v>
      </c>
      <c r="R422" s="26"/>
      <c r="S422" s="26"/>
      <c r="T422" s="26"/>
      <c r="U422" s="26"/>
      <c r="V422" s="34">
        <f>70</f>
        <v>70</v>
      </c>
      <c r="W422" s="26"/>
      <c r="X422" s="26"/>
      <c r="Y422" s="26"/>
      <c r="Z422" s="26"/>
      <c r="AA422" s="26">
        <f>76.3</f>
        <v>76.3</v>
      </c>
      <c r="AB422" s="26"/>
      <c r="AC422" s="26"/>
      <c r="AD422" s="26"/>
      <c r="AE422" s="26"/>
      <c r="AF422" s="26">
        <f>83.2</f>
        <v>83.2</v>
      </c>
      <c r="AG422" s="26"/>
      <c r="AH422" s="26"/>
      <c r="AI422" s="26"/>
      <c r="AJ422" s="26"/>
      <c r="AK422" s="26"/>
      <c r="AL422" s="26"/>
      <c r="AM422" s="26"/>
      <c r="AN422" s="26"/>
      <c r="AO422" s="26"/>
      <c r="AP422" s="26">
        <f>94.7</f>
        <v>94.7</v>
      </c>
      <c r="AQ422" s="26"/>
      <c r="AR422" s="26"/>
      <c r="AS422" s="26"/>
      <c r="AT422" s="26"/>
      <c r="AU422" s="26"/>
      <c r="AV422" s="26"/>
      <c r="AW422" s="26"/>
      <c r="AX422" s="26"/>
      <c r="AY422" s="26"/>
      <c r="AZ422" s="32">
        <f>103.3</f>
        <v>103.3</v>
      </c>
      <c r="BA422" s="5"/>
    </row>
    <row r="423" spans="1:53" ht="13" customHeight="1">
      <c r="A423" s="24" t="s">
        <v>309</v>
      </c>
      <c r="B423" s="24" t="s">
        <v>310</v>
      </c>
      <c r="C423" s="73"/>
      <c r="D423" s="39" t="s">
        <v>311</v>
      </c>
      <c r="E423" s="25" t="s">
        <v>312</v>
      </c>
      <c r="F423" s="25" t="s">
        <v>264</v>
      </c>
      <c r="G423" s="25" t="s">
        <v>265</v>
      </c>
      <c r="H423" s="38"/>
      <c r="I423" s="200" t="s">
        <v>128</v>
      </c>
      <c r="J423" s="199" t="s">
        <v>141</v>
      </c>
      <c r="K423" s="134">
        <f>57</f>
        <v>57</v>
      </c>
      <c r="L423" s="31">
        <f>55.2</f>
        <v>55.2</v>
      </c>
      <c r="M423" s="26">
        <f>57.4</f>
        <v>57.4</v>
      </c>
      <c r="N423" s="26"/>
      <c r="O423" s="26"/>
      <c r="P423" s="26"/>
      <c r="Q423" s="26">
        <f>60.1</f>
        <v>60.1</v>
      </c>
      <c r="R423" s="26"/>
      <c r="S423" s="26"/>
      <c r="T423" s="26"/>
      <c r="U423" s="26"/>
      <c r="V423" s="34">
        <f>70</f>
        <v>70</v>
      </c>
      <c r="W423" s="26"/>
      <c r="X423" s="26"/>
      <c r="Y423" s="26"/>
      <c r="Z423" s="26"/>
      <c r="AA423" s="26">
        <f>76.3</f>
        <v>76.3</v>
      </c>
      <c r="AB423" s="26"/>
      <c r="AC423" s="26"/>
      <c r="AD423" s="26"/>
      <c r="AE423" s="26"/>
      <c r="AF423" s="26">
        <f>83.2</f>
        <v>83.2</v>
      </c>
      <c r="AG423" s="26"/>
      <c r="AH423" s="26"/>
      <c r="AI423" s="26"/>
      <c r="AJ423" s="26"/>
      <c r="AK423" s="26"/>
      <c r="AL423" s="26"/>
      <c r="AM423" s="26"/>
      <c r="AN423" s="26"/>
      <c r="AO423" s="26"/>
      <c r="AP423" s="26">
        <f>94.7</f>
        <v>94.7</v>
      </c>
      <c r="AQ423" s="26"/>
      <c r="AR423" s="26"/>
      <c r="AS423" s="26"/>
      <c r="AT423" s="26"/>
      <c r="AU423" s="26"/>
      <c r="AV423" s="26"/>
      <c r="AW423" s="26"/>
      <c r="AX423" s="26"/>
      <c r="AY423" s="26"/>
      <c r="AZ423" s="32">
        <f>103.3</f>
        <v>103.3</v>
      </c>
      <c r="BA423" s="5"/>
    </row>
    <row r="424" spans="1:53" ht="13" customHeight="1">
      <c r="A424" s="24" t="s">
        <v>309</v>
      </c>
      <c r="B424" s="24" t="s">
        <v>310</v>
      </c>
      <c r="C424" s="59"/>
      <c r="D424" s="39" t="s">
        <v>311</v>
      </c>
      <c r="E424" s="25" t="s">
        <v>257</v>
      </c>
      <c r="F424" s="25" t="s">
        <v>264</v>
      </c>
      <c r="G424" s="25" t="s">
        <v>259</v>
      </c>
      <c r="H424" s="38"/>
      <c r="I424" s="208" t="s">
        <v>381</v>
      </c>
      <c r="J424" s="199" t="s">
        <v>98</v>
      </c>
      <c r="K424" s="217">
        <f>0.6</f>
        <v>0.6</v>
      </c>
      <c r="L424" s="71">
        <f t="shared" ref="L424:M425" si="30">0.6</f>
        <v>0.6</v>
      </c>
      <c r="M424" s="72">
        <f t="shared" si="30"/>
        <v>0.6</v>
      </c>
      <c r="N424" s="26"/>
      <c r="O424" s="26"/>
      <c r="P424" s="26"/>
      <c r="Q424" s="72">
        <f>0.6</f>
        <v>0.6</v>
      </c>
      <c r="R424" s="26"/>
      <c r="S424" s="26"/>
      <c r="T424" s="26"/>
      <c r="U424" s="26"/>
      <c r="V424" s="72">
        <f>0.6</f>
        <v>0.6</v>
      </c>
      <c r="W424" s="26"/>
      <c r="X424" s="26"/>
      <c r="Y424" s="26"/>
      <c r="Z424" s="26"/>
      <c r="AA424" s="72">
        <f>0.6</f>
        <v>0.6</v>
      </c>
      <c r="AB424" s="26"/>
      <c r="AC424" s="26"/>
      <c r="AD424" s="26"/>
      <c r="AE424" s="26"/>
      <c r="AF424" s="72">
        <f>0.6</f>
        <v>0.6</v>
      </c>
      <c r="AG424" s="26"/>
      <c r="AH424" s="26"/>
      <c r="AI424" s="26"/>
      <c r="AJ424" s="26"/>
      <c r="AK424" s="26"/>
      <c r="AL424" s="26"/>
      <c r="AM424" s="26"/>
      <c r="AN424" s="26"/>
      <c r="AO424" s="26"/>
      <c r="AP424" s="72">
        <f>0.6</f>
        <v>0.6</v>
      </c>
      <c r="AQ424" s="26"/>
      <c r="AR424" s="26"/>
      <c r="AS424" s="26"/>
      <c r="AT424" s="26"/>
      <c r="AU424" s="26"/>
      <c r="AV424" s="26"/>
      <c r="AW424" s="26"/>
      <c r="AX424" s="26"/>
      <c r="AY424" s="26"/>
      <c r="AZ424" s="74">
        <f>0.6</f>
        <v>0.6</v>
      </c>
      <c r="BA424" s="5"/>
    </row>
    <row r="425" spans="1:53" ht="13" customHeight="1">
      <c r="A425" s="24" t="s">
        <v>309</v>
      </c>
      <c r="B425" s="24" t="s">
        <v>310</v>
      </c>
      <c r="C425" s="73"/>
      <c r="D425" s="39" t="s">
        <v>311</v>
      </c>
      <c r="E425" s="25" t="s">
        <v>312</v>
      </c>
      <c r="F425" s="25" t="s">
        <v>264</v>
      </c>
      <c r="G425" s="25" t="s">
        <v>265</v>
      </c>
      <c r="H425" s="38"/>
      <c r="I425" s="208" t="s">
        <v>381</v>
      </c>
      <c r="J425" s="199" t="s">
        <v>98</v>
      </c>
      <c r="K425" s="217">
        <f>0.6</f>
        <v>0.6</v>
      </c>
      <c r="L425" s="71">
        <f t="shared" si="30"/>
        <v>0.6</v>
      </c>
      <c r="M425" s="72">
        <f t="shared" si="30"/>
        <v>0.6</v>
      </c>
      <c r="N425" s="26"/>
      <c r="O425" s="26"/>
      <c r="P425" s="26"/>
      <c r="Q425" s="72">
        <f>0.6</f>
        <v>0.6</v>
      </c>
      <c r="R425" s="72"/>
      <c r="S425" s="72"/>
      <c r="T425" s="26"/>
      <c r="U425" s="26"/>
      <c r="V425" s="72">
        <f>0.62</f>
        <v>0.62</v>
      </c>
      <c r="W425" s="26"/>
      <c r="X425" s="26"/>
      <c r="Y425" s="26"/>
      <c r="Z425" s="26"/>
      <c r="AA425" s="72">
        <f>0.65</f>
        <v>0.65</v>
      </c>
      <c r="AB425" s="26"/>
      <c r="AC425" s="26"/>
      <c r="AD425" s="26"/>
      <c r="AE425" s="26"/>
      <c r="AF425" s="72">
        <f>0.68</f>
        <v>0.68</v>
      </c>
      <c r="AG425" s="26"/>
      <c r="AH425" s="26"/>
      <c r="AI425" s="26"/>
      <c r="AJ425" s="26"/>
      <c r="AK425" s="26"/>
      <c r="AL425" s="26"/>
      <c r="AM425" s="26"/>
      <c r="AN425" s="26"/>
      <c r="AO425" s="26"/>
      <c r="AP425" s="72">
        <f>0.76</f>
        <v>0.76</v>
      </c>
      <c r="AQ425" s="26"/>
      <c r="AR425" s="26"/>
      <c r="AS425" s="26"/>
      <c r="AT425" s="26"/>
      <c r="AU425" s="26"/>
      <c r="AV425" s="26"/>
      <c r="AW425" s="26"/>
      <c r="AX425" s="26"/>
      <c r="AY425" s="26"/>
      <c r="AZ425" s="74">
        <f>0.84</f>
        <v>0.84</v>
      </c>
      <c r="BA425" s="5"/>
    </row>
    <row r="426" spans="1:53" ht="13" customHeight="1">
      <c r="A426" s="24" t="s">
        <v>309</v>
      </c>
      <c r="B426" s="24" t="s">
        <v>310</v>
      </c>
      <c r="C426" s="59"/>
      <c r="D426" s="39" t="s">
        <v>311</v>
      </c>
      <c r="E426" s="25" t="s">
        <v>257</v>
      </c>
      <c r="F426" s="25" t="s">
        <v>264</v>
      </c>
      <c r="G426" s="25" t="s">
        <v>259</v>
      </c>
      <c r="H426" s="38"/>
      <c r="I426" s="206" t="s">
        <v>382</v>
      </c>
      <c r="J426" s="202" t="s">
        <v>383</v>
      </c>
      <c r="K426" s="134">
        <f>38.8</f>
        <v>38.799999999999997</v>
      </c>
      <c r="L426" s="31">
        <f>39.1</f>
        <v>39.1</v>
      </c>
      <c r="M426" s="26">
        <f>34.1</f>
        <v>34.1</v>
      </c>
      <c r="N426" s="26"/>
      <c r="O426" s="26"/>
      <c r="P426" s="26"/>
      <c r="Q426" s="26">
        <f>33.5</f>
        <v>33.5</v>
      </c>
      <c r="R426" s="26"/>
      <c r="S426" s="26"/>
      <c r="T426" s="26"/>
      <c r="U426" s="26"/>
      <c r="V426" s="26">
        <f>32.7</f>
        <v>32.700000000000003</v>
      </c>
      <c r="W426" s="26"/>
      <c r="X426" s="26"/>
      <c r="Y426" s="26"/>
      <c r="Z426" s="26"/>
      <c r="AA426" s="26">
        <f>32</f>
        <v>32</v>
      </c>
      <c r="AB426" s="26"/>
      <c r="AC426" s="26"/>
      <c r="AD426" s="26"/>
      <c r="AE426" s="26"/>
      <c r="AF426" s="26">
        <f>31.3</f>
        <v>31.3</v>
      </c>
      <c r="AG426" s="26"/>
      <c r="AH426" s="26"/>
      <c r="AI426" s="26"/>
      <c r="AJ426" s="26"/>
      <c r="AK426" s="26"/>
      <c r="AL426" s="26"/>
      <c r="AM426" s="26"/>
      <c r="AN426" s="26"/>
      <c r="AO426" s="26"/>
      <c r="AP426" s="34">
        <f>30</f>
        <v>30</v>
      </c>
      <c r="AQ426" s="26"/>
      <c r="AR426" s="26"/>
      <c r="AS426" s="26"/>
      <c r="AT426" s="26"/>
      <c r="AU426" s="26"/>
      <c r="AV426" s="26"/>
      <c r="AW426" s="26"/>
      <c r="AX426" s="26"/>
      <c r="AY426" s="26"/>
      <c r="AZ426" s="32">
        <f>28.6</f>
        <v>28.6</v>
      </c>
      <c r="BA426" s="5"/>
    </row>
    <row r="427" spans="1:53" ht="13" customHeight="1">
      <c r="A427" s="24" t="s">
        <v>309</v>
      </c>
      <c r="B427" s="24" t="s">
        <v>310</v>
      </c>
      <c r="C427" s="73"/>
      <c r="D427" s="39" t="s">
        <v>311</v>
      </c>
      <c r="E427" s="25" t="s">
        <v>312</v>
      </c>
      <c r="F427" s="25" t="s">
        <v>264</v>
      </c>
      <c r="G427" s="25" t="s">
        <v>265</v>
      </c>
      <c r="H427" s="38"/>
      <c r="I427" s="206" t="s">
        <v>382</v>
      </c>
      <c r="J427" s="202" t="s">
        <v>383</v>
      </c>
      <c r="K427" s="134">
        <f>38.8</f>
        <v>38.799999999999997</v>
      </c>
      <c r="L427" s="31">
        <f>39.1</f>
        <v>39.1</v>
      </c>
      <c r="M427" s="26">
        <f>34.1</f>
        <v>34.1</v>
      </c>
      <c r="N427" s="26"/>
      <c r="O427" s="26"/>
      <c r="P427" s="26"/>
      <c r="Q427" s="26">
        <f>33.5</f>
        <v>33.5</v>
      </c>
      <c r="R427" s="26"/>
      <c r="S427" s="26"/>
      <c r="T427" s="26"/>
      <c r="U427" s="26"/>
      <c r="V427" s="26">
        <f>32.7</f>
        <v>32.700000000000003</v>
      </c>
      <c r="W427" s="26"/>
      <c r="X427" s="26"/>
      <c r="Y427" s="26"/>
      <c r="Z427" s="26"/>
      <c r="AA427" s="26">
        <f>31.4</f>
        <v>31.4</v>
      </c>
      <c r="AB427" s="26"/>
      <c r="AC427" s="26"/>
      <c r="AD427" s="26"/>
      <c r="AE427" s="26"/>
      <c r="AF427" s="26">
        <f>29.8</f>
        <v>29.8</v>
      </c>
      <c r="AG427" s="26"/>
      <c r="AH427" s="26"/>
      <c r="AI427" s="26"/>
      <c r="AJ427" s="26"/>
      <c r="AK427" s="26"/>
      <c r="AL427" s="26"/>
      <c r="AM427" s="26"/>
      <c r="AN427" s="26"/>
      <c r="AO427" s="26"/>
      <c r="AP427" s="34">
        <f>27</f>
        <v>27</v>
      </c>
      <c r="AQ427" s="26"/>
      <c r="AR427" s="26"/>
      <c r="AS427" s="26"/>
      <c r="AT427" s="26"/>
      <c r="AU427" s="26"/>
      <c r="AV427" s="26"/>
      <c r="AW427" s="26"/>
      <c r="AX427" s="26"/>
      <c r="AY427" s="26"/>
      <c r="AZ427" s="32">
        <f>22.9</f>
        <v>22.9</v>
      </c>
      <c r="BA427" s="5"/>
    </row>
    <row r="428" spans="1:53" ht="13" customHeight="1">
      <c r="A428" s="24" t="s">
        <v>31</v>
      </c>
      <c r="B428" s="25" t="s">
        <v>384</v>
      </c>
      <c r="C428" s="73"/>
      <c r="D428" s="39" t="s">
        <v>385</v>
      </c>
      <c r="E428" s="24" t="s">
        <v>386</v>
      </c>
      <c r="F428" s="25" t="s">
        <v>258</v>
      </c>
      <c r="G428" s="25" t="s">
        <v>387</v>
      </c>
      <c r="H428" s="38"/>
      <c r="I428" s="206" t="s">
        <v>195</v>
      </c>
      <c r="J428" s="199" t="s">
        <v>141</v>
      </c>
      <c r="K428" s="215">
        <v>10.913</v>
      </c>
      <c r="L428" s="55">
        <v>11.19</v>
      </c>
      <c r="M428" s="34">
        <v>11.403</v>
      </c>
      <c r="N428" s="34">
        <v>11.847937999999999</v>
      </c>
      <c r="O428" s="34">
        <v>12.281612900000001</v>
      </c>
      <c r="P428" s="34">
        <v>12.401426600000001</v>
      </c>
      <c r="Q428" s="34">
        <v>12.888558510042801</v>
      </c>
      <c r="R428" s="34">
        <v>12.385819573246</v>
      </c>
      <c r="S428" s="34">
        <v>12.4424654438257</v>
      </c>
      <c r="T428" s="34">
        <v>12.601040002356999</v>
      </c>
      <c r="U428" s="34">
        <v>13.9514714235389</v>
      </c>
      <c r="V428" s="34">
        <v>15.3019028447208</v>
      </c>
      <c r="W428" s="34">
        <v>16.652334265902599</v>
      </c>
      <c r="X428" s="34">
        <v>17.182728686046101</v>
      </c>
      <c r="Y428" s="34">
        <v>17.538760694464699</v>
      </c>
      <c r="Z428" s="34">
        <v>17.658143161199501</v>
      </c>
      <c r="AA428" s="34">
        <v>17.777525627934299</v>
      </c>
      <c r="AB428" s="34">
        <v>17.8969080946692</v>
      </c>
      <c r="AC428" s="34">
        <v>18.016290561403999</v>
      </c>
      <c r="AD428" s="34">
        <v>18.374896238519799</v>
      </c>
      <c r="AE428" s="34">
        <v>18.7327461030678</v>
      </c>
      <c r="AF428" s="34">
        <v>19.089527555019</v>
      </c>
      <c r="AG428" s="34">
        <v>19.444935076889799</v>
      </c>
      <c r="AH428" s="34">
        <v>19.798671750733899</v>
      </c>
      <c r="AI428" s="34">
        <v>20.150450773393601</v>
      </c>
      <c r="AJ428" s="34">
        <v>20.499996961959699</v>
      </c>
      <c r="AK428" s="34">
        <v>20.847048241295401</v>
      </c>
      <c r="AL428" s="34">
        <v>21.191357105442801</v>
      </c>
      <c r="AM428" s="34">
        <v>21.532692044751499</v>
      </c>
      <c r="AN428" s="34">
        <v>21.870838930650098</v>
      </c>
      <c r="AO428" s="34">
        <v>22.205602350120198</v>
      </c>
      <c r="AP428" s="34">
        <v>22.536806882134201</v>
      </c>
      <c r="AQ428" s="26"/>
      <c r="AR428" s="26"/>
      <c r="AS428" s="26"/>
      <c r="AT428" s="26"/>
      <c r="AU428" s="26"/>
      <c r="AV428" s="26"/>
      <c r="AW428" s="26"/>
      <c r="AX428" s="26"/>
      <c r="AY428" s="26"/>
      <c r="AZ428" s="32"/>
      <c r="BA428" s="5"/>
    </row>
    <row r="429" spans="1:53" ht="13" customHeight="1">
      <c r="A429" s="24" t="s">
        <v>31</v>
      </c>
      <c r="B429" s="25" t="s">
        <v>384</v>
      </c>
      <c r="C429" s="73"/>
      <c r="D429" s="39" t="s">
        <v>385</v>
      </c>
      <c r="E429" s="24" t="s">
        <v>388</v>
      </c>
      <c r="F429" s="25" t="s">
        <v>389</v>
      </c>
      <c r="G429" s="25" t="s">
        <v>259</v>
      </c>
      <c r="H429" s="38"/>
      <c r="I429" s="198" t="s">
        <v>390</v>
      </c>
      <c r="J429" s="199" t="s">
        <v>141</v>
      </c>
      <c r="K429" s="215">
        <v>9.5679999999999996</v>
      </c>
      <c r="L429" s="55">
        <v>10.327</v>
      </c>
      <c r="M429" s="34">
        <v>10.324</v>
      </c>
      <c r="N429" s="34">
        <v>10.942</v>
      </c>
      <c r="O429" s="34">
        <v>11.0871</v>
      </c>
      <c r="P429" s="34">
        <v>12.8464024390244</v>
      </c>
      <c r="Q429" s="34">
        <v>12.186</v>
      </c>
      <c r="R429" s="34">
        <v>11.625170784806899</v>
      </c>
      <c r="S429" s="34">
        <v>11.683290787600599</v>
      </c>
      <c r="T429" s="34">
        <v>11.845992034673699</v>
      </c>
      <c r="U429" s="34">
        <v>12.222996017336801</v>
      </c>
      <c r="V429" s="34">
        <v>12.6</v>
      </c>
      <c r="W429" s="34">
        <v>12.78</v>
      </c>
      <c r="X429" s="34">
        <v>12.96</v>
      </c>
      <c r="Y429" s="34">
        <v>13.14</v>
      </c>
      <c r="Z429" s="34">
        <v>13.32</v>
      </c>
      <c r="AA429" s="26">
        <v>13.5</v>
      </c>
      <c r="AB429" s="34">
        <v>13.62</v>
      </c>
      <c r="AC429" s="34">
        <v>13.74</v>
      </c>
      <c r="AD429" s="34">
        <v>13.86</v>
      </c>
      <c r="AE429" s="34">
        <v>13.98</v>
      </c>
      <c r="AF429" s="26">
        <v>14.1</v>
      </c>
      <c r="AG429" s="26">
        <v>14.3</v>
      </c>
      <c r="AH429" s="26">
        <v>14.5</v>
      </c>
      <c r="AI429" s="26">
        <v>14.7</v>
      </c>
      <c r="AJ429" s="26">
        <v>14.9</v>
      </c>
      <c r="AK429" s="26">
        <v>15.1</v>
      </c>
      <c r="AL429" s="26">
        <v>15.2</v>
      </c>
      <c r="AM429" s="26">
        <v>15.3</v>
      </c>
      <c r="AN429" s="26">
        <v>15.4</v>
      </c>
      <c r="AO429" s="26">
        <v>15.5</v>
      </c>
      <c r="AP429" s="26">
        <v>15.6</v>
      </c>
      <c r="AQ429" s="26"/>
      <c r="AR429" s="26"/>
      <c r="AS429" s="26"/>
      <c r="AT429" s="26"/>
      <c r="AU429" s="26"/>
      <c r="AV429" s="26"/>
      <c r="AW429" s="26"/>
      <c r="AX429" s="26"/>
      <c r="AY429" s="26"/>
      <c r="AZ429" s="32"/>
      <c r="BA429" s="5"/>
    </row>
    <row r="430" spans="1:53" ht="13" customHeight="1">
      <c r="A430" s="24" t="s">
        <v>31</v>
      </c>
      <c r="B430" s="25" t="s">
        <v>384</v>
      </c>
      <c r="C430" s="73"/>
      <c r="D430" s="39" t="s">
        <v>385</v>
      </c>
      <c r="E430" s="24" t="s">
        <v>386</v>
      </c>
      <c r="F430" s="25" t="s">
        <v>258</v>
      </c>
      <c r="G430" s="25" t="s">
        <v>387</v>
      </c>
      <c r="H430" s="38"/>
      <c r="I430" s="198" t="s">
        <v>390</v>
      </c>
      <c r="J430" s="199" t="s">
        <v>141</v>
      </c>
      <c r="K430" s="215">
        <v>9.5679999999999996</v>
      </c>
      <c r="L430" s="55">
        <v>10.327</v>
      </c>
      <c r="M430" s="34">
        <v>10.324</v>
      </c>
      <c r="N430" s="34">
        <v>10.942</v>
      </c>
      <c r="O430" s="34">
        <v>11.087</v>
      </c>
      <c r="P430" s="34">
        <v>12.846</v>
      </c>
      <c r="Q430" s="34">
        <v>12.226000000000001</v>
      </c>
      <c r="R430" s="34">
        <v>11.664</v>
      </c>
      <c r="S430" s="34">
        <v>11.722</v>
      </c>
      <c r="T430" s="34">
        <v>11.885</v>
      </c>
      <c r="U430" s="34">
        <v>13.275</v>
      </c>
      <c r="V430" s="34">
        <v>14.664999999999999</v>
      </c>
      <c r="W430" s="34">
        <v>16.056000000000001</v>
      </c>
      <c r="X430" s="34">
        <v>16.602</v>
      </c>
      <c r="Y430" s="34">
        <v>16.968</v>
      </c>
      <c r="Z430" s="34">
        <v>17.091000000000001</v>
      </c>
      <c r="AA430" s="34">
        <v>17.213999999999999</v>
      </c>
      <c r="AB430" s="34">
        <v>17.337</v>
      </c>
      <c r="AC430" s="34">
        <v>17.46</v>
      </c>
      <c r="AD430" s="34">
        <v>17.829000000000001</v>
      </c>
      <c r="AE430" s="34">
        <v>18.196999999999999</v>
      </c>
      <c r="AF430" s="34">
        <v>18.564</v>
      </c>
      <c r="AG430" s="34">
        <v>18.93</v>
      </c>
      <c r="AH430" s="34">
        <v>19.294</v>
      </c>
      <c r="AI430" s="34">
        <v>19.657</v>
      </c>
      <c r="AJ430" s="34">
        <v>20.015999999999998</v>
      </c>
      <c r="AK430" s="34">
        <v>20.373999999999999</v>
      </c>
      <c r="AL430" s="34">
        <v>20.728000000000002</v>
      </c>
      <c r="AM430" s="34">
        <v>21.079000000000001</v>
      </c>
      <c r="AN430" s="34">
        <v>21.428000000000001</v>
      </c>
      <c r="AO430" s="34">
        <v>21.771999999999998</v>
      </c>
      <c r="AP430" s="34">
        <v>22.113</v>
      </c>
      <c r="AQ430" s="26"/>
      <c r="AR430" s="26"/>
      <c r="AS430" s="26"/>
      <c r="AT430" s="26"/>
      <c r="AU430" s="26"/>
      <c r="AV430" s="26"/>
      <c r="AW430" s="26"/>
      <c r="AX430" s="26"/>
      <c r="AY430" s="26"/>
      <c r="AZ430" s="32"/>
      <c r="BA430" s="5"/>
    </row>
    <row r="431" spans="1:53" ht="13" customHeight="1">
      <c r="A431" s="24" t="s">
        <v>31</v>
      </c>
      <c r="B431" s="25" t="s">
        <v>384</v>
      </c>
      <c r="C431" s="73"/>
      <c r="D431" s="39" t="s">
        <v>385</v>
      </c>
      <c r="E431" s="24" t="s">
        <v>386</v>
      </c>
      <c r="F431" s="25" t="s">
        <v>258</v>
      </c>
      <c r="G431" s="25" t="s">
        <v>387</v>
      </c>
      <c r="H431" s="38"/>
      <c r="I431" s="206" t="s">
        <v>391</v>
      </c>
      <c r="J431" s="202" t="s">
        <v>321</v>
      </c>
      <c r="K431" s="218">
        <v>0.89287140602232296</v>
      </c>
      <c r="L431" s="92">
        <v>0.96370014736543996</v>
      </c>
      <c r="M431" s="93">
        <v>0.94475844289927502</v>
      </c>
      <c r="N431" s="93">
        <v>1.0013121737896</v>
      </c>
      <c r="O431" s="93">
        <v>1.0145904041329501</v>
      </c>
      <c r="P431" s="93">
        <v>1.17558573858486</v>
      </c>
      <c r="Q431" s="93">
        <v>1.1246204327718099</v>
      </c>
      <c r="R431" s="93">
        <v>1.08232986873508</v>
      </c>
      <c r="S431" s="93">
        <v>1.0397426712022499</v>
      </c>
      <c r="T431" s="93">
        <v>1.0092057341740699</v>
      </c>
      <c r="U431" s="93">
        <v>1.08047793398793</v>
      </c>
      <c r="V431" s="93">
        <v>1.1453157621485499</v>
      </c>
      <c r="W431" s="93">
        <v>1.2042004444596099</v>
      </c>
      <c r="X431" s="93">
        <v>1.1966809982148501</v>
      </c>
      <c r="Y431" s="93">
        <v>1.1761646929005201</v>
      </c>
      <c r="Z431" s="93">
        <v>1.13972371306054</v>
      </c>
      <c r="AA431" s="93">
        <v>1.10470018256644</v>
      </c>
      <c r="AB431" s="93">
        <v>1.07090491294567</v>
      </c>
      <c r="AC431" s="93">
        <v>1.03817264277389</v>
      </c>
      <c r="AD431" s="93">
        <v>1.0204531474160301</v>
      </c>
      <c r="AE431" s="93">
        <v>1.0024216765793601</v>
      </c>
      <c r="AF431" s="93">
        <v>0.98400206705522497</v>
      </c>
      <c r="AG431" s="93">
        <v>0.96512615895695697</v>
      </c>
      <c r="AH431" s="93">
        <v>0.94573286354011599</v>
      </c>
      <c r="AI431" s="93">
        <v>0.92576737888697103</v>
      </c>
      <c r="AJ431" s="93">
        <v>0.905180523364706</v>
      </c>
      <c r="AK431" s="93">
        <v>0.88392816298980803</v>
      </c>
      <c r="AL431" s="93">
        <v>0.86197071364518896</v>
      </c>
      <c r="AM431" s="93">
        <v>0.83927270285169597</v>
      </c>
      <c r="AN431" s="93">
        <v>0.81580237874884098</v>
      </c>
      <c r="AO431" s="93">
        <v>0.79153135628062599</v>
      </c>
      <c r="AP431" s="93">
        <v>0.76643429245289096</v>
      </c>
      <c r="AQ431" s="26"/>
      <c r="AR431" s="26"/>
      <c r="AS431" s="26"/>
      <c r="AT431" s="26"/>
      <c r="AU431" s="26"/>
      <c r="AV431" s="26"/>
      <c r="AW431" s="26"/>
      <c r="AX431" s="26"/>
      <c r="AY431" s="26"/>
      <c r="AZ431" s="32"/>
      <c r="BA431" s="5"/>
    </row>
    <row r="432" spans="1:53" ht="13" customHeight="1">
      <c r="A432" s="24" t="s">
        <v>31</v>
      </c>
      <c r="B432" s="25" t="s">
        <v>384</v>
      </c>
      <c r="C432" s="73"/>
      <c r="D432" s="39" t="s">
        <v>385</v>
      </c>
      <c r="E432" s="24" t="s">
        <v>386</v>
      </c>
      <c r="F432" s="25" t="s">
        <v>258</v>
      </c>
      <c r="G432" s="25" t="s">
        <v>387</v>
      </c>
      <c r="H432" s="38"/>
      <c r="I432" s="206" t="s">
        <v>392</v>
      </c>
      <c r="J432" s="202" t="s">
        <v>393</v>
      </c>
      <c r="K432" s="215">
        <v>93.318499793303005</v>
      </c>
      <c r="L432" s="55">
        <v>93.318499793303005</v>
      </c>
      <c r="M432" s="34">
        <v>91.510891408298605</v>
      </c>
      <c r="N432" s="34">
        <v>91.510891408298605</v>
      </c>
      <c r="O432" s="34">
        <v>91.510891408298605</v>
      </c>
      <c r="P432" s="34">
        <v>91.172668773231507</v>
      </c>
      <c r="Q432" s="34">
        <v>91.984360206722698</v>
      </c>
      <c r="R432" s="34">
        <v>92.796051640213804</v>
      </c>
      <c r="S432" s="34">
        <v>88.701278131013595</v>
      </c>
      <c r="T432" s="34">
        <v>84.9136421436353</v>
      </c>
      <c r="U432" s="34">
        <v>81.390521384300598</v>
      </c>
      <c r="V432" s="34">
        <v>78.0965757322749</v>
      </c>
      <c r="W432" s="34">
        <v>75.002249290856597</v>
      </c>
      <c r="X432" s="34">
        <v>72.082627406246402</v>
      </c>
      <c r="Y432" s="34">
        <v>69.316554241585195</v>
      </c>
      <c r="Z432" s="34">
        <v>66.685944141537306</v>
      </c>
      <c r="AA432" s="34">
        <v>64.175238883911902</v>
      </c>
      <c r="AB432" s="34">
        <v>61.7709759860494</v>
      </c>
      <c r="AC432" s="34">
        <v>59.461442424742003</v>
      </c>
      <c r="AD432" s="34">
        <v>57.236394678259501</v>
      </c>
      <c r="AE432" s="34">
        <v>55.086830724866303</v>
      </c>
      <c r="AF432" s="34">
        <v>53.004803081491502</v>
      </c>
      <c r="AG432" s="34">
        <v>50.983264510912598</v>
      </c>
      <c r="AH432" s="34">
        <v>49.0159399220598</v>
      </c>
      <c r="AI432" s="34">
        <v>47.097219414389201</v>
      </c>
      <c r="AJ432" s="34">
        <v>45.222068499623902</v>
      </c>
      <c r="AK432" s="34">
        <v>43.385952362295797</v>
      </c>
      <c r="AL432" s="34">
        <v>41.584771659096702</v>
      </c>
      <c r="AM432" s="34">
        <v>39.814807853071201</v>
      </c>
      <c r="AN432" s="34">
        <v>38.072676466669499</v>
      </c>
      <c r="AO432" s="34">
        <v>36.355286943142801</v>
      </c>
      <c r="AP432" s="34">
        <v>34.659808047766397</v>
      </c>
      <c r="AQ432" s="26"/>
      <c r="AR432" s="26"/>
      <c r="AS432" s="26"/>
      <c r="AT432" s="26"/>
      <c r="AU432" s="26"/>
      <c r="AV432" s="26"/>
      <c r="AW432" s="26"/>
      <c r="AX432" s="26"/>
      <c r="AY432" s="26"/>
      <c r="AZ432" s="32"/>
      <c r="BA432" s="5"/>
    </row>
    <row r="433" spans="1:53" ht="13" customHeight="1">
      <c r="A433" s="24" t="s">
        <v>31</v>
      </c>
      <c r="B433" s="25" t="s">
        <v>384</v>
      </c>
      <c r="C433" s="73"/>
      <c r="D433" s="39" t="s">
        <v>385</v>
      </c>
      <c r="E433" s="24" t="s">
        <v>386</v>
      </c>
      <c r="F433" s="25" t="s">
        <v>258</v>
      </c>
      <c r="G433" s="25" t="s">
        <v>387</v>
      </c>
      <c r="H433" s="38"/>
      <c r="I433" s="210" t="s">
        <v>394</v>
      </c>
      <c r="J433" s="202" t="s">
        <v>267</v>
      </c>
      <c r="K433" s="134">
        <v>16.3</v>
      </c>
      <c r="L433" s="31">
        <v>17.600000000000001</v>
      </c>
      <c r="M433" s="26">
        <v>18.7</v>
      </c>
      <c r="N433" s="26">
        <v>19.8</v>
      </c>
      <c r="O433" s="26">
        <v>20.100000000000001</v>
      </c>
      <c r="P433" s="26">
        <v>23.2</v>
      </c>
      <c r="Q433" s="26">
        <v>20.2</v>
      </c>
      <c r="R433" s="26">
        <v>18.399999999999999</v>
      </c>
      <c r="S433" s="26">
        <v>17.7</v>
      </c>
      <c r="T433" s="26">
        <v>17.100000000000001</v>
      </c>
      <c r="U433" s="26">
        <v>18.399999999999999</v>
      </c>
      <c r="V433" s="26">
        <v>19.5</v>
      </c>
      <c r="W433" s="26">
        <v>20.5</v>
      </c>
      <c r="X433" s="26">
        <v>20.399999999999999</v>
      </c>
      <c r="Y433" s="26">
        <v>20.100000000000001</v>
      </c>
      <c r="Z433" s="26">
        <v>19.5</v>
      </c>
      <c r="AA433" s="26">
        <v>18.899999999999999</v>
      </c>
      <c r="AB433" s="26">
        <v>18.3</v>
      </c>
      <c r="AC433" s="26">
        <v>17.8</v>
      </c>
      <c r="AD433" s="26">
        <v>17.5</v>
      </c>
      <c r="AE433" s="26">
        <v>17.3</v>
      </c>
      <c r="AF433" s="26">
        <v>17</v>
      </c>
      <c r="AG433" s="26">
        <v>16.7</v>
      </c>
      <c r="AH433" s="26">
        <v>16.399999999999999</v>
      </c>
      <c r="AI433" s="26">
        <v>16.100000000000001</v>
      </c>
      <c r="AJ433" s="26">
        <v>15.8</v>
      </c>
      <c r="AK433" s="26">
        <v>15.5</v>
      </c>
      <c r="AL433" s="26">
        <v>15.2</v>
      </c>
      <c r="AM433" s="26">
        <v>14.8</v>
      </c>
      <c r="AN433" s="26">
        <v>14.5</v>
      </c>
      <c r="AO433" s="26">
        <v>14.1</v>
      </c>
      <c r="AP433" s="26">
        <v>13.8</v>
      </c>
      <c r="AQ433" s="26"/>
      <c r="AR433" s="26"/>
      <c r="AS433" s="26"/>
      <c r="AT433" s="26"/>
      <c r="AU433" s="26"/>
      <c r="AV433" s="26"/>
      <c r="AW433" s="26"/>
      <c r="AX433" s="26"/>
      <c r="AY433" s="26"/>
      <c r="AZ433" s="32"/>
      <c r="BA433" s="5"/>
    </row>
    <row r="434" spans="1:53" ht="13" customHeight="1">
      <c r="A434" s="24" t="s">
        <v>31</v>
      </c>
      <c r="B434" s="25" t="s">
        <v>384</v>
      </c>
      <c r="C434" s="73"/>
      <c r="D434" s="39" t="s">
        <v>385</v>
      </c>
      <c r="E434" s="24" t="s">
        <v>386</v>
      </c>
      <c r="F434" s="25" t="s">
        <v>258</v>
      </c>
      <c r="G434" s="25" t="s">
        <v>387</v>
      </c>
      <c r="H434" s="38"/>
      <c r="I434" s="206" t="s">
        <v>370</v>
      </c>
      <c r="J434" s="202" t="s">
        <v>371</v>
      </c>
      <c r="K434" s="215">
        <v>1708.42290202563</v>
      </c>
      <c r="L434" s="55">
        <v>1708.42290202563</v>
      </c>
      <c r="M434" s="34">
        <v>1808.8099645226</v>
      </c>
      <c r="N434" s="34">
        <v>1808.8099645226</v>
      </c>
      <c r="O434" s="34">
        <v>1808.8099645226</v>
      </c>
      <c r="P434" s="34">
        <v>1809</v>
      </c>
      <c r="Q434" s="34">
        <v>1650</v>
      </c>
      <c r="R434" s="34">
        <v>1575</v>
      </c>
      <c r="S434" s="34">
        <v>1506</v>
      </c>
      <c r="T434" s="34">
        <v>1443</v>
      </c>
      <c r="U434" s="34">
        <v>1384</v>
      </c>
      <c r="V434" s="34">
        <v>1329</v>
      </c>
      <c r="W434" s="34">
        <v>1277</v>
      </c>
      <c r="X434" s="34">
        <v>1229</v>
      </c>
      <c r="Y434" s="34">
        <v>1183</v>
      </c>
      <c r="Z434" s="34">
        <v>1139</v>
      </c>
      <c r="AA434" s="34">
        <v>1098</v>
      </c>
      <c r="AB434" s="34">
        <v>1058</v>
      </c>
      <c r="AC434" s="34">
        <v>1020</v>
      </c>
      <c r="AD434" s="34">
        <v>984</v>
      </c>
      <c r="AE434" s="34">
        <v>949</v>
      </c>
      <c r="AF434" s="34">
        <v>915</v>
      </c>
      <c r="AG434" s="34">
        <v>882</v>
      </c>
      <c r="AH434" s="34">
        <v>850</v>
      </c>
      <c r="AI434" s="34">
        <v>820</v>
      </c>
      <c r="AJ434" s="34">
        <v>790</v>
      </c>
      <c r="AK434" s="34">
        <v>760</v>
      </c>
      <c r="AL434" s="34">
        <v>732</v>
      </c>
      <c r="AM434" s="34">
        <v>704</v>
      </c>
      <c r="AN434" s="34">
        <v>676</v>
      </c>
      <c r="AO434" s="34">
        <v>649</v>
      </c>
      <c r="AP434" s="34">
        <v>623</v>
      </c>
      <c r="AQ434" s="26"/>
      <c r="AR434" s="26"/>
      <c r="AS434" s="26"/>
      <c r="AT434" s="26"/>
      <c r="AU434" s="26"/>
      <c r="AV434" s="26"/>
      <c r="AW434" s="26"/>
      <c r="AX434" s="26"/>
      <c r="AY434" s="26"/>
      <c r="AZ434" s="32"/>
      <c r="BA434" s="5"/>
    </row>
    <row r="435" spans="1:53" ht="13" customHeight="1">
      <c r="A435" s="24" t="s">
        <v>32</v>
      </c>
      <c r="B435" s="25" t="s">
        <v>384</v>
      </c>
      <c r="C435" s="73"/>
      <c r="D435" s="39" t="s">
        <v>311</v>
      </c>
      <c r="E435" s="24" t="s">
        <v>386</v>
      </c>
      <c r="F435" s="25" t="s">
        <v>258</v>
      </c>
      <c r="G435" s="25" t="s">
        <v>387</v>
      </c>
      <c r="H435" s="38"/>
      <c r="I435" s="206" t="s">
        <v>113</v>
      </c>
      <c r="J435" s="199" t="s">
        <v>141</v>
      </c>
      <c r="K435" s="215">
        <v>19.2224</v>
      </c>
      <c r="L435" s="55">
        <v>19.612200000000001</v>
      </c>
      <c r="M435" s="34">
        <v>19.652799999999999</v>
      </c>
      <c r="N435" s="34">
        <v>16.979099999999999</v>
      </c>
      <c r="O435" s="34">
        <v>17.100000000000001</v>
      </c>
      <c r="P435" s="34">
        <v>16.752073955583501</v>
      </c>
      <c r="Q435" s="34">
        <v>18.245835528831901</v>
      </c>
      <c r="R435" s="34">
        <v>20.353457217107199</v>
      </c>
      <c r="S435" s="34">
        <v>21.158258926912101</v>
      </c>
      <c r="T435" s="34">
        <v>22.114654504481699</v>
      </c>
      <c r="U435" s="34">
        <v>23.090266164719502</v>
      </c>
      <c r="V435" s="34">
        <v>23.308757302727201</v>
      </c>
      <c r="W435" s="34">
        <v>25.029835710186401</v>
      </c>
      <c r="X435" s="34">
        <v>25.9139028170088</v>
      </c>
      <c r="Y435" s="34">
        <v>26.218898606588301</v>
      </c>
      <c r="Z435" s="34">
        <v>26.523894396167702</v>
      </c>
      <c r="AA435" s="34">
        <v>26.6983379434581</v>
      </c>
      <c r="AB435" s="34">
        <v>26.872781490748501</v>
      </c>
      <c r="AC435" s="34">
        <v>27.279233000485402</v>
      </c>
      <c r="AD435" s="34">
        <v>27.686069090598998</v>
      </c>
      <c r="AE435" s="34">
        <v>28.092982918720899</v>
      </c>
      <c r="AF435" s="34">
        <v>29.399673638086501</v>
      </c>
      <c r="AG435" s="34">
        <v>30.714847939977201</v>
      </c>
      <c r="AH435" s="34">
        <v>31.138311602558598</v>
      </c>
      <c r="AI435" s="34">
        <v>31.560881938083501</v>
      </c>
      <c r="AJ435" s="34">
        <v>31.9822993392816</v>
      </c>
      <c r="AK435" s="34">
        <v>32.402317907745498</v>
      </c>
      <c r="AL435" s="34">
        <v>32.820706947004098</v>
      </c>
      <c r="AM435" s="34">
        <v>33.237252420898102</v>
      </c>
      <c r="AN435" s="34">
        <v>33.651758369050199</v>
      </c>
      <c r="AO435" s="34">
        <v>34.064048271361003</v>
      </c>
      <c r="AP435" s="34">
        <v>35.279806440795802</v>
      </c>
      <c r="AQ435" s="26"/>
      <c r="AR435" s="26"/>
      <c r="AS435" s="26"/>
      <c r="AT435" s="26"/>
      <c r="AU435" s="26"/>
      <c r="AV435" s="26"/>
      <c r="AW435" s="26"/>
      <c r="AX435" s="26"/>
      <c r="AY435" s="26"/>
      <c r="AZ435" s="32">
        <f>43.3</f>
        <v>43.3</v>
      </c>
      <c r="BA435" s="5"/>
    </row>
    <row r="436" spans="1:53" ht="13" customHeight="1">
      <c r="A436" s="24" t="s">
        <v>32</v>
      </c>
      <c r="B436" s="25" t="s">
        <v>384</v>
      </c>
      <c r="C436" s="73"/>
      <c r="D436" s="39" t="s">
        <v>311</v>
      </c>
      <c r="E436" s="24" t="s">
        <v>386</v>
      </c>
      <c r="F436" s="25" t="s">
        <v>258</v>
      </c>
      <c r="G436" s="25" t="s">
        <v>387</v>
      </c>
      <c r="H436" s="38"/>
      <c r="I436" s="208" t="s">
        <v>395</v>
      </c>
      <c r="J436" s="199" t="s">
        <v>98</v>
      </c>
      <c r="K436" s="216">
        <v>1</v>
      </c>
      <c r="L436" s="42">
        <v>1</v>
      </c>
      <c r="M436" s="43">
        <v>1</v>
      </c>
      <c r="N436" s="43">
        <v>1</v>
      </c>
      <c r="O436" s="43">
        <v>1</v>
      </c>
      <c r="P436" s="43">
        <v>1</v>
      </c>
      <c r="Q436" s="43">
        <v>1</v>
      </c>
      <c r="R436" s="43">
        <v>1</v>
      </c>
      <c r="S436" s="43">
        <v>1</v>
      </c>
      <c r="T436" s="43">
        <v>1</v>
      </c>
      <c r="U436" s="43">
        <v>1</v>
      </c>
      <c r="V436" s="43">
        <v>1</v>
      </c>
      <c r="W436" s="43">
        <v>1</v>
      </c>
      <c r="X436" s="43">
        <v>1</v>
      </c>
      <c r="Y436" s="43">
        <v>1</v>
      </c>
      <c r="Z436" s="43">
        <v>1</v>
      </c>
      <c r="AA436" s="43">
        <v>1</v>
      </c>
      <c r="AB436" s="43">
        <v>1</v>
      </c>
      <c r="AC436" s="43">
        <v>0.95763417159059705</v>
      </c>
      <c r="AD436" s="43">
        <v>0.95825672107308602</v>
      </c>
      <c r="AE436" s="43">
        <v>0.91516868039919896</v>
      </c>
      <c r="AF436" s="43">
        <v>0.91893907252662399</v>
      </c>
      <c r="AG436" s="43">
        <v>0.88027233416643902</v>
      </c>
      <c r="AH436" s="43">
        <v>0.83825742917662405</v>
      </c>
      <c r="AI436" s="43">
        <v>0.79526013346490598</v>
      </c>
      <c r="AJ436" s="43">
        <v>0.75125196505015601</v>
      </c>
      <c r="AK436" s="43">
        <v>0.75447638849558096</v>
      </c>
      <c r="AL436" s="43">
        <v>0.71010972072812095</v>
      </c>
      <c r="AM436" s="43">
        <v>0.71374276723351304</v>
      </c>
      <c r="AN436" s="43">
        <v>0.71726874422354103</v>
      </c>
      <c r="AO436" s="43">
        <v>0.67329550692023399</v>
      </c>
      <c r="AP436" s="43">
        <v>0.68455389228352403</v>
      </c>
      <c r="AQ436" s="26"/>
      <c r="AR436" s="26"/>
      <c r="AS436" s="26"/>
      <c r="AT436" s="26"/>
      <c r="AU436" s="26"/>
      <c r="AV436" s="26"/>
      <c r="AW436" s="26"/>
      <c r="AX436" s="26"/>
      <c r="AY436" s="26"/>
      <c r="AZ436" s="94">
        <v>0.48799999999999999</v>
      </c>
      <c r="BA436" s="5"/>
    </row>
    <row r="437" spans="1:53" ht="13" customHeight="1">
      <c r="A437" s="24" t="s">
        <v>32</v>
      </c>
      <c r="B437" s="25" t="s">
        <v>384</v>
      </c>
      <c r="C437" s="73"/>
      <c r="D437" s="39" t="s">
        <v>311</v>
      </c>
      <c r="E437" s="24" t="s">
        <v>386</v>
      </c>
      <c r="F437" s="25" t="s">
        <v>258</v>
      </c>
      <c r="G437" s="25" t="s">
        <v>387</v>
      </c>
      <c r="H437" s="38"/>
      <c r="I437" s="208" t="s">
        <v>396</v>
      </c>
      <c r="J437" s="199" t="s">
        <v>98</v>
      </c>
      <c r="K437" s="216">
        <v>0</v>
      </c>
      <c r="L437" s="42">
        <v>0</v>
      </c>
      <c r="M437" s="43">
        <v>0</v>
      </c>
      <c r="N437" s="43">
        <v>0</v>
      </c>
      <c r="O437" s="43">
        <v>0</v>
      </c>
      <c r="P437" s="43">
        <v>0</v>
      </c>
      <c r="Q437" s="43">
        <v>0</v>
      </c>
      <c r="R437" s="43">
        <v>0</v>
      </c>
      <c r="S437" s="43">
        <v>0</v>
      </c>
      <c r="T437" s="43">
        <v>0</v>
      </c>
      <c r="U437" s="43">
        <v>0</v>
      </c>
      <c r="V437" s="43">
        <v>0</v>
      </c>
      <c r="W437" s="43">
        <v>0</v>
      </c>
      <c r="X437" s="43">
        <v>0</v>
      </c>
      <c r="Y437" s="43">
        <v>0</v>
      </c>
      <c r="Z437" s="43">
        <v>0</v>
      </c>
      <c r="AA437" s="43">
        <v>0</v>
      </c>
      <c r="AB437" s="43">
        <v>0</v>
      </c>
      <c r="AC437" s="43">
        <v>3.91946523640328E-2</v>
      </c>
      <c r="AD437" s="43">
        <v>3.8618702088500198E-2</v>
      </c>
      <c r="AE437" s="43">
        <v>7.8355362119963495E-2</v>
      </c>
      <c r="AF437" s="43">
        <v>7.48727988182388E-2</v>
      </c>
      <c r="AG437" s="43">
        <v>0.110393412334472</v>
      </c>
      <c r="AH437" s="43">
        <v>0.14892575348544401</v>
      </c>
      <c r="AI437" s="43">
        <v>0.18827565336417701</v>
      </c>
      <c r="AJ437" s="43">
        <v>0.228459903169701</v>
      </c>
      <c r="AK437" s="43">
        <v>0.225498466838079</v>
      </c>
      <c r="AL437" s="43">
        <v>0.265810923580237</v>
      </c>
      <c r="AM437" s="43">
        <v>0.26247965131600698</v>
      </c>
      <c r="AN437" s="43">
        <v>0.25924655497832999</v>
      </c>
      <c r="AO437" s="43">
        <v>0.29885984513464098</v>
      </c>
      <c r="AP437" s="43">
        <v>0.288560998998731</v>
      </c>
      <c r="AQ437" s="26"/>
      <c r="AR437" s="26"/>
      <c r="AS437" s="26"/>
      <c r="AT437" s="26"/>
      <c r="AU437" s="26"/>
      <c r="AV437" s="26"/>
      <c r="AW437" s="26"/>
      <c r="AX437" s="26"/>
      <c r="AY437" s="26"/>
      <c r="AZ437" s="88">
        <f>0.459</f>
        <v>0.45900000000000002</v>
      </c>
      <c r="BA437" s="5"/>
    </row>
    <row r="438" spans="1:53" ht="13" customHeight="1">
      <c r="A438" s="24" t="s">
        <v>32</v>
      </c>
      <c r="B438" s="25" t="s">
        <v>384</v>
      </c>
      <c r="C438" s="73"/>
      <c r="D438" s="39" t="s">
        <v>311</v>
      </c>
      <c r="E438" s="24" t="s">
        <v>386</v>
      </c>
      <c r="F438" s="25" t="s">
        <v>258</v>
      </c>
      <c r="G438" s="25" t="s">
        <v>387</v>
      </c>
      <c r="H438" s="38"/>
      <c r="I438" s="208" t="s">
        <v>397</v>
      </c>
      <c r="J438" s="199" t="s">
        <v>98</v>
      </c>
      <c r="K438" s="216">
        <v>0</v>
      </c>
      <c r="L438" s="42">
        <v>0</v>
      </c>
      <c r="M438" s="43">
        <v>0</v>
      </c>
      <c r="N438" s="43">
        <v>0</v>
      </c>
      <c r="O438" s="43">
        <v>0</v>
      </c>
      <c r="P438" s="43">
        <v>0</v>
      </c>
      <c r="Q438" s="43">
        <v>0</v>
      </c>
      <c r="R438" s="43">
        <v>0</v>
      </c>
      <c r="S438" s="43">
        <v>0</v>
      </c>
      <c r="T438" s="43">
        <v>0</v>
      </c>
      <c r="U438" s="43">
        <v>0</v>
      </c>
      <c r="V438" s="43">
        <v>0</v>
      </c>
      <c r="W438" s="43">
        <v>0</v>
      </c>
      <c r="X438" s="43">
        <v>0</v>
      </c>
      <c r="Y438" s="43">
        <v>0</v>
      </c>
      <c r="Z438" s="43">
        <v>0</v>
      </c>
      <c r="AA438" s="43">
        <v>0</v>
      </c>
      <c r="AB438" s="43">
        <v>0</v>
      </c>
      <c r="AC438" s="43">
        <v>3.17117604536993E-3</v>
      </c>
      <c r="AD438" s="43">
        <v>3.1245768384135899E-3</v>
      </c>
      <c r="AE438" s="43">
        <v>6.4759574808376102E-3</v>
      </c>
      <c r="AF438" s="43">
        <v>6.1881286551374697E-3</v>
      </c>
      <c r="AG438" s="43">
        <v>9.3342534990888005E-3</v>
      </c>
      <c r="AH438" s="43">
        <v>1.2816817337931901E-2</v>
      </c>
      <c r="AI438" s="43">
        <v>1.6464213170917098E-2</v>
      </c>
      <c r="AJ438" s="43">
        <v>2.0288131780143399E-2</v>
      </c>
      <c r="AK438" s="43">
        <v>2.0025144666339801E-2</v>
      </c>
      <c r="AL438" s="43">
        <v>2.4079355691642199E-2</v>
      </c>
      <c r="AM438" s="43">
        <v>2.3777581450479701E-2</v>
      </c>
      <c r="AN438" s="43">
        <v>2.3484700798128401E-2</v>
      </c>
      <c r="AO438" s="43">
        <v>2.7844647945124801E-2</v>
      </c>
      <c r="AP438" s="43">
        <v>2.6885108717744601E-2</v>
      </c>
      <c r="AQ438" s="26"/>
      <c r="AR438" s="26"/>
      <c r="AS438" s="26"/>
      <c r="AT438" s="26"/>
      <c r="AU438" s="26"/>
      <c r="AV438" s="26"/>
      <c r="AW438" s="26"/>
      <c r="AX438" s="26"/>
      <c r="AY438" s="26"/>
      <c r="AZ438" s="95">
        <v>5.2999999999999999E-2</v>
      </c>
      <c r="BA438" s="5"/>
    </row>
    <row r="439" spans="1:53" ht="13" customHeight="1">
      <c r="A439" s="24" t="s">
        <v>32</v>
      </c>
      <c r="B439" s="25" t="s">
        <v>384</v>
      </c>
      <c r="C439" s="73"/>
      <c r="D439" s="39" t="s">
        <v>311</v>
      </c>
      <c r="E439" s="24" t="s">
        <v>386</v>
      </c>
      <c r="F439" s="25" t="s">
        <v>258</v>
      </c>
      <c r="G439" s="25" t="s">
        <v>387</v>
      </c>
      <c r="H439" s="38"/>
      <c r="I439" s="206" t="s">
        <v>398</v>
      </c>
      <c r="J439" s="202" t="s">
        <v>321</v>
      </c>
      <c r="K439" s="215">
        <v>24.181000000000001</v>
      </c>
      <c r="L439" s="55">
        <v>24.699000000000002</v>
      </c>
      <c r="M439" s="34">
        <v>24.753</v>
      </c>
      <c r="N439" s="34">
        <v>20.850999999999999</v>
      </c>
      <c r="O439" s="34">
        <v>20.7223165426946</v>
      </c>
      <c r="P439" s="34">
        <v>20.209010377510801</v>
      </c>
      <c r="Q439" s="34">
        <v>21.762326757662098</v>
      </c>
      <c r="R439" s="34">
        <v>23.9830366984352</v>
      </c>
      <c r="S439" s="34">
        <v>24.643397207832798</v>
      </c>
      <c r="T439" s="34">
        <v>25.4729750243641</v>
      </c>
      <c r="U439" s="34">
        <v>26.316330975640501</v>
      </c>
      <c r="V439" s="34">
        <v>26.298088779741001</v>
      </c>
      <c r="W439" s="34">
        <v>27.969016581243899</v>
      </c>
      <c r="X439" s="34">
        <v>28.692293400962299</v>
      </c>
      <c r="Y439" s="34">
        <v>28.7774864701063</v>
      </c>
      <c r="Z439" s="34">
        <v>28.871413390776201</v>
      </c>
      <c r="AA439" s="34">
        <v>28.832833957285601</v>
      </c>
      <c r="AB439" s="34">
        <v>28.900803623308299</v>
      </c>
      <c r="AC439" s="34">
        <v>29.1234044198623</v>
      </c>
      <c r="AD439" s="34">
        <v>29.4355870327636</v>
      </c>
      <c r="AE439" s="34">
        <v>29.665784625251302</v>
      </c>
      <c r="AF439" s="34">
        <v>30.917991598297</v>
      </c>
      <c r="AG439" s="34">
        <v>32.098959554753201</v>
      </c>
      <c r="AH439" s="34">
        <v>32.348996500220302</v>
      </c>
      <c r="AI439" s="34">
        <v>32.604787900258003</v>
      </c>
      <c r="AJ439" s="34">
        <v>32.865924912387499</v>
      </c>
      <c r="AK439" s="34">
        <v>33.167230857158103</v>
      </c>
      <c r="AL439" s="34">
        <v>33.434031841202</v>
      </c>
      <c r="AM439" s="34">
        <v>33.727175476651396</v>
      </c>
      <c r="AN439" s="34">
        <v>34.014900681142997</v>
      </c>
      <c r="AO439" s="34">
        <v>34.287498694145199</v>
      </c>
      <c r="AP439" s="34">
        <v>35.374619567173397</v>
      </c>
      <c r="AQ439" s="26"/>
      <c r="AR439" s="26"/>
      <c r="AS439" s="26"/>
      <c r="AT439" s="26"/>
      <c r="AU439" s="26"/>
      <c r="AV439" s="26"/>
      <c r="AW439" s="26"/>
      <c r="AX439" s="26"/>
      <c r="AY439" s="26"/>
      <c r="AZ439" s="32">
        <f>40.2</f>
        <v>40.200000000000003</v>
      </c>
      <c r="BA439" s="5"/>
    </row>
    <row r="440" spans="1:53" ht="13" customHeight="1">
      <c r="A440" s="24" t="s">
        <v>32</v>
      </c>
      <c r="B440" s="25" t="s">
        <v>384</v>
      </c>
      <c r="C440" s="73"/>
      <c r="D440" s="39" t="s">
        <v>311</v>
      </c>
      <c r="E440" s="24" t="s">
        <v>386</v>
      </c>
      <c r="F440" s="25" t="s">
        <v>258</v>
      </c>
      <c r="G440" s="25" t="s">
        <v>387</v>
      </c>
      <c r="H440" s="38"/>
      <c r="I440" s="206" t="s">
        <v>399</v>
      </c>
      <c r="J440" s="202" t="s">
        <v>400</v>
      </c>
      <c r="K440" s="215">
        <v>1258</v>
      </c>
      <c r="L440" s="55">
        <v>1259.4000000000001</v>
      </c>
      <c r="M440" s="34">
        <v>1259.5063574891201</v>
      </c>
      <c r="N440" s="34">
        <v>1228.0563214808201</v>
      </c>
      <c r="O440" s="34">
        <v>1211.8313767657701</v>
      </c>
      <c r="P440" s="34">
        <v>1206.3587130222199</v>
      </c>
      <c r="Q440" s="34">
        <v>1192.7284296339001</v>
      </c>
      <c r="R440" s="34">
        <v>1178.3274184140801</v>
      </c>
      <c r="S440" s="34">
        <v>1164.7176307351001</v>
      </c>
      <c r="T440" s="34">
        <v>1151.8595065187101</v>
      </c>
      <c r="U440" s="34">
        <v>1139.71535832056</v>
      </c>
      <c r="V440" s="34">
        <v>1128.2492858022999</v>
      </c>
      <c r="W440" s="34">
        <v>1117.4270940125</v>
      </c>
      <c r="X440" s="34">
        <v>1107.2162153101001</v>
      </c>
      <c r="Y440" s="34">
        <v>1097.58563477091</v>
      </c>
      <c r="Z440" s="34">
        <v>1088.50581892483</v>
      </c>
      <c r="AA440" s="34">
        <v>1079.94864767792</v>
      </c>
      <c r="AB440" s="34">
        <v>1075.46751843526</v>
      </c>
      <c r="AC440" s="34">
        <v>1067.6034923468801</v>
      </c>
      <c r="AD440" s="34">
        <v>1063.1912727097399</v>
      </c>
      <c r="AE440" s="34">
        <v>1055.9855715956201</v>
      </c>
      <c r="AF440" s="34">
        <v>1051.6440413217299</v>
      </c>
      <c r="AG440" s="34">
        <v>1045.06327420148</v>
      </c>
      <c r="AH440" s="34">
        <v>1038.8808781000901</v>
      </c>
      <c r="AI440" s="34">
        <v>1033.07594395563</v>
      </c>
      <c r="AJ440" s="34">
        <v>1027.6285817893199</v>
      </c>
      <c r="AK440" s="34">
        <v>1023.60673553017</v>
      </c>
      <c r="AL440" s="34">
        <v>1018.6871323396</v>
      </c>
      <c r="AM440" s="34">
        <v>1014.7401791685199</v>
      </c>
      <c r="AN440" s="34">
        <v>1010.79118386951</v>
      </c>
      <c r="AO440" s="34">
        <v>1006.55971424782</v>
      </c>
      <c r="AP440" s="34">
        <v>1002.6874616372</v>
      </c>
      <c r="AQ440" s="26"/>
      <c r="AR440" s="26"/>
      <c r="AS440" s="26"/>
      <c r="AT440" s="26"/>
      <c r="AU440" s="26"/>
      <c r="AV440" s="26"/>
      <c r="AW440" s="26"/>
      <c r="AX440" s="26"/>
      <c r="AY440" s="26"/>
      <c r="AZ440" s="32">
        <f>927.6</f>
        <v>927.6</v>
      </c>
      <c r="BA440" s="5"/>
    </row>
    <row r="441" spans="1:53" ht="13" customHeight="1">
      <c r="A441" s="24" t="s">
        <v>32</v>
      </c>
      <c r="B441" s="25" t="s">
        <v>384</v>
      </c>
      <c r="C441" s="73"/>
      <c r="D441" s="39" t="s">
        <v>311</v>
      </c>
      <c r="E441" s="24" t="s">
        <v>386</v>
      </c>
      <c r="F441" s="25" t="s">
        <v>258</v>
      </c>
      <c r="G441" s="25" t="s">
        <v>387</v>
      </c>
      <c r="H441" s="38"/>
      <c r="I441" s="210" t="s">
        <v>401</v>
      </c>
      <c r="J441" s="202" t="s">
        <v>267</v>
      </c>
      <c r="K441" s="215">
        <v>29.985979258465601</v>
      </c>
      <c r="L441" s="55">
        <v>29.927</v>
      </c>
      <c r="M441" s="34">
        <v>29.868020741534401</v>
      </c>
      <c r="N441" s="34">
        <v>27.774654625960501</v>
      </c>
      <c r="O441" s="34">
        <v>28.749129570897999</v>
      </c>
      <c r="P441" s="34">
        <v>28.522350899571901</v>
      </c>
      <c r="Q441" s="34">
        <v>31.164188265620702</v>
      </c>
      <c r="R441" s="34">
        <v>35.042622406702201</v>
      </c>
      <c r="S441" s="34">
        <v>36.141801366752397</v>
      </c>
      <c r="T441" s="34">
        <v>37.481917025641899</v>
      </c>
      <c r="U441" s="34">
        <v>38.829421468362398</v>
      </c>
      <c r="V441" s="34">
        <v>38.916656975905397</v>
      </c>
      <c r="W441" s="34">
        <v>41.4137921563131</v>
      </c>
      <c r="X441" s="34">
        <v>42.594062630099401</v>
      </c>
      <c r="Y441" s="34">
        <v>43.424835083256902</v>
      </c>
      <c r="Z441" s="34">
        <v>44.252403120322199</v>
      </c>
      <c r="AA441" s="34">
        <v>42.755506967183202</v>
      </c>
      <c r="AB441" s="34">
        <v>43.042410563870099</v>
      </c>
      <c r="AC441" s="34">
        <v>40.734331601138997</v>
      </c>
      <c r="AD441" s="34">
        <v>41.0142693409149</v>
      </c>
      <c r="AE441" s="34">
        <v>38.573677652991002</v>
      </c>
      <c r="AF441" s="34">
        <v>40.595770854170802</v>
      </c>
      <c r="AG441" s="34">
        <v>39.806778526861599</v>
      </c>
      <c r="AH441" s="34">
        <v>37.173987467422002</v>
      </c>
      <c r="AI441" s="34">
        <v>34.428787119950798</v>
      </c>
      <c r="AJ441" s="34">
        <v>31.570775325863998</v>
      </c>
      <c r="AK441" s="34">
        <v>31.851321824386901</v>
      </c>
      <c r="AL441" s="34">
        <v>28.897493134462099</v>
      </c>
      <c r="AM441" s="34">
        <v>29.168287545811399</v>
      </c>
      <c r="AN441" s="34">
        <v>29.427094626372501</v>
      </c>
      <c r="AO441" s="34">
        <v>26.409568959109201</v>
      </c>
      <c r="AP441" s="34">
        <v>28.1841751854687</v>
      </c>
      <c r="AQ441" s="26"/>
      <c r="AR441" s="26"/>
      <c r="AS441" s="26"/>
      <c r="AT441" s="26"/>
      <c r="AU441" s="26"/>
      <c r="AV441" s="26"/>
      <c r="AW441" s="26"/>
      <c r="AX441" s="26"/>
      <c r="AY441" s="26"/>
      <c r="AZ441" s="32">
        <f>14</f>
        <v>14</v>
      </c>
      <c r="BA441" s="5"/>
    </row>
    <row r="442" spans="1:53" ht="13" customHeight="1">
      <c r="A442" s="24" t="s">
        <v>32</v>
      </c>
      <c r="B442" s="25" t="s">
        <v>384</v>
      </c>
      <c r="C442" s="73"/>
      <c r="D442" s="39" t="s">
        <v>311</v>
      </c>
      <c r="E442" s="24" t="s">
        <v>386</v>
      </c>
      <c r="F442" s="25" t="s">
        <v>258</v>
      </c>
      <c r="G442" s="25" t="s">
        <v>387</v>
      </c>
      <c r="H442" s="38"/>
      <c r="I442" s="206" t="s">
        <v>364</v>
      </c>
      <c r="J442" s="202" t="s">
        <v>365</v>
      </c>
      <c r="K442" s="215">
        <v>1935</v>
      </c>
      <c r="L442" s="55">
        <v>1854.3346409194701</v>
      </c>
      <c r="M442" s="34">
        <v>1855.5460809194699</v>
      </c>
      <c r="N442" s="34">
        <v>1999</v>
      </c>
      <c r="O442" s="34">
        <v>1982</v>
      </c>
      <c r="P442" s="34">
        <v>1858.46310091947</v>
      </c>
      <c r="Q442" s="34">
        <v>1854.2748659194699</v>
      </c>
      <c r="R442" s="34">
        <v>1850.0866309194701</v>
      </c>
      <c r="S442" s="34">
        <v>1845.89839591947</v>
      </c>
      <c r="T442" s="34">
        <v>1841.7101609194699</v>
      </c>
      <c r="U442" s="34">
        <v>1837.52192591947</v>
      </c>
      <c r="V442" s="34">
        <v>1833.33369091947</v>
      </c>
      <c r="W442" s="34">
        <v>1829.1454559194699</v>
      </c>
      <c r="X442" s="34">
        <v>1824.95722091947</v>
      </c>
      <c r="Y442" s="34">
        <v>1820.76898591947</v>
      </c>
      <c r="Z442" s="34">
        <v>1816.5807509194699</v>
      </c>
      <c r="AA442" s="34">
        <v>1812.39251591947</v>
      </c>
      <c r="AB442" s="34">
        <v>1808.20428091947</v>
      </c>
      <c r="AC442" s="34">
        <v>1804.0160459194699</v>
      </c>
      <c r="AD442" s="34">
        <v>1799.82781091947</v>
      </c>
      <c r="AE442" s="34">
        <v>1791.2408531466699</v>
      </c>
      <c r="AF442" s="34">
        <v>1787.24947335192</v>
      </c>
      <c r="AG442" s="34">
        <v>1778.8287348993099</v>
      </c>
      <c r="AH442" s="34">
        <v>1770.08772048585</v>
      </c>
      <c r="AI442" s="34">
        <v>1761.1346963864501</v>
      </c>
      <c r="AJ442" s="34">
        <v>1751.95419025668</v>
      </c>
      <c r="AK442" s="34">
        <v>1748.07023344854</v>
      </c>
      <c r="AL442" s="34">
        <v>1738.58997392896</v>
      </c>
      <c r="AM442" s="34">
        <v>1734.7598378057201</v>
      </c>
      <c r="AN442" s="34">
        <v>1730.91872381638</v>
      </c>
      <c r="AO442" s="34">
        <v>1721.04085311016</v>
      </c>
      <c r="AP442" s="34">
        <v>1717.98262875928</v>
      </c>
      <c r="AQ442" s="26"/>
      <c r="AR442" s="26"/>
      <c r="AS442" s="26"/>
      <c r="AT442" s="26"/>
      <c r="AU442" s="26"/>
      <c r="AV442" s="26"/>
      <c r="AW442" s="26"/>
      <c r="AX442" s="26"/>
      <c r="AY442" s="26"/>
      <c r="AZ442" s="32">
        <f>1639</f>
        <v>1639</v>
      </c>
      <c r="BA442" s="5"/>
    </row>
    <row r="443" spans="1:53" ht="13" customHeight="1">
      <c r="A443" s="24" t="s">
        <v>32</v>
      </c>
      <c r="B443" s="25" t="s">
        <v>384</v>
      </c>
      <c r="C443" s="73"/>
      <c r="D443" s="39" t="s">
        <v>311</v>
      </c>
      <c r="E443" s="24" t="s">
        <v>386</v>
      </c>
      <c r="F443" s="25" t="s">
        <v>258</v>
      </c>
      <c r="G443" s="25" t="s">
        <v>387</v>
      </c>
      <c r="H443" s="38"/>
      <c r="I443" s="206" t="s">
        <v>402</v>
      </c>
      <c r="J443" s="202" t="s">
        <v>365</v>
      </c>
      <c r="K443" s="215">
        <v>1592.34170229495</v>
      </c>
      <c r="L443" s="55">
        <v>1525.9609192486801</v>
      </c>
      <c r="M443" s="34">
        <v>1519.78627455725</v>
      </c>
      <c r="N443" s="34">
        <v>1635.81642218503</v>
      </c>
      <c r="O443" s="34">
        <v>1401.9518341650901</v>
      </c>
      <c r="P443" s="34">
        <v>1443.82071736127</v>
      </c>
      <c r="Q443" s="34">
        <v>1456.6864565752801</v>
      </c>
      <c r="R443" s="34">
        <v>1477.85995854766</v>
      </c>
      <c r="S443" s="34">
        <v>1471.9841941724001</v>
      </c>
      <c r="T443" s="34">
        <v>1466.3625155260399</v>
      </c>
      <c r="U443" s="34">
        <v>1460.75995993216</v>
      </c>
      <c r="V443" s="34">
        <v>1456.3494895399399</v>
      </c>
      <c r="W443" s="34">
        <v>1449.00407131678</v>
      </c>
      <c r="X443" s="34">
        <v>1445.7309667915299</v>
      </c>
      <c r="Y443" s="34">
        <v>1443.3619666833199</v>
      </c>
      <c r="Z443" s="34">
        <v>1440.86699850889</v>
      </c>
      <c r="AA443" s="34">
        <v>1440.2560732514601</v>
      </c>
      <c r="AB443" s="34">
        <v>1423.26467950406</v>
      </c>
      <c r="AC443" s="34">
        <v>1417.3493439490901</v>
      </c>
      <c r="AD443" s="34">
        <v>1411.4856287589701</v>
      </c>
      <c r="AE443" s="34">
        <v>1313.46399403584</v>
      </c>
      <c r="AF443" s="34">
        <v>1324.27796081318</v>
      </c>
      <c r="AG443" s="34">
        <v>1247.1320317110101</v>
      </c>
      <c r="AH443" s="34">
        <v>1154.7720577034299</v>
      </c>
      <c r="AI443" s="34">
        <v>1061.2020681675899</v>
      </c>
      <c r="AJ443" s="34">
        <v>966.39162770103098</v>
      </c>
      <c r="AK443" s="34">
        <v>967.14344454183595</v>
      </c>
      <c r="AL443" s="34">
        <v>872.66603737155003</v>
      </c>
      <c r="AM443" s="34">
        <v>874.47566306905901</v>
      </c>
      <c r="AN443" s="34">
        <v>876.12091119430295</v>
      </c>
      <c r="AO443" s="34">
        <v>783.72905084287697</v>
      </c>
      <c r="AP443" s="34">
        <v>810.087065356165</v>
      </c>
      <c r="AQ443" s="26"/>
      <c r="AR443" s="26"/>
      <c r="AS443" s="26"/>
      <c r="AT443" s="26"/>
      <c r="AU443" s="26"/>
      <c r="AV443" s="26"/>
      <c r="AW443" s="26"/>
      <c r="AX443" s="26"/>
      <c r="AY443" s="26"/>
      <c r="AZ443" s="32">
        <f>338</f>
        <v>338</v>
      </c>
      <c r="BA443" s="5"/>
    </row>
    <row r="444" spans="1:53" ht="13" customHeight="1">
      <c r="A444" s="24" t="s">
        <v>33</v>
      </c>
      <c r="B444" s="25" t="s">
        <v>384</v>
      </c>
      <c r="C444" s="73"/>
      <c r="D444" s="39" t="s">
        <v>139</v>
      </c>
      <c r="E444" s="24" t="s">
        <v>386</v>
      </c>
      <c r="F444" s="25" t="s">
        <v>258</v>
      </c>
      <c r="G444" s="25" t="s">
        <v>387</v>
      </c>
      <c r="H444" s="38"/>
      <c r="I444" s="200" t="s">
        <v>378</v>
      </c>
      <c r="J444" s="199" t="s">
        <v>141</v>
      </c>
      <c r="K444" s="215">
        <v>52.43</v>
      </c>
      <c r="L444" s="55">
        <v>49.679986999999997</v>
      </c>
      <c r="M444" s="34">
        <v>54.1</v>
      </c>
      <c r="N444" s="34">
        <v>54.7</v>
      </c>
      <c r="O444" s="34">
        <v>55.499476000000001</v>
      </c>
      <c r="P444" s="34">
        <v>56.527900000000002</v>
      </c>
      <c r="Q444" s="34">
        <v>67.046554530487001</v>
      </c>
      <c r="R444" s="34">
        <v>67.702449846219295</v>
      </c>
      <c r="S444" s="34">
        <v>68.172263951879401</v>
      </c>
      <c r="T444" s="34">
        <v>69.178257362760405</v>
      </c>
      <c r="U444" s="34">
        <v>70.066820539790498</v>
      </c>
      <c r="V444" s="34">
        <v>70.924313195617202</v>
      </c>
      <c r="W444" s="34">
        <v>71.751707704670395</v>
      </c>
      <c r="X444" s="34">
        <v>71.270133149646298</v>
      </c>
      <c r="Y444" s="34">
        <v>70.794864370991505</v>
      </c>
      <c r="Z444" s="34">
        <v>70.2965307035129</v>
      </c>
      <c r="AA444" s="34">
        <v>69.788910424648805</v>
      </c>
      <c r="AB444" s="34">
        <v>69.221615331348701</v>
      </c>
      <c r="AC444" s="34">
        <v>68.635235134294803</v>
      </c>
      <c r="AD444" s="34">
        <v>68.049112051319199</v>
      </c>
      <c r="AE444" s="34">
        <v>67.445137354148102</v>
      </c>
      <c r="AF444" s="34">
        <v>66.826244904940495</v>
      </c>
      <c r="AG444" s="34">
        <v>66.197109722838505</v>
      </c>
      <c r="AH444" s="34">
        <v>65.5492835071625</v>
      </c>
      <c r="AI444" s="34">
        <v>64.881049636408207</v>
      </c>
      <c r="AJ444" s="34">
        <v>64.183217118064206</v>
      </c>
      <c r="AK444" s="34">
        <v>63.476773501856698</v>
      </c>
      <c r="AL444" s="34">
        <v>62.781546784561002</v>
      </c>
      <c r="AM444" s="34">
        <v>62.083760818303404</v>
      </c>
      <c r="AN444" s="34">
        <v>61.374344412933802</v>
      </c>
      <c r="AO444" s="34">
        <v>60.659265533197399</v>
      </c>
      <c r="AP444" s="34">
        <v>59.935703212822197</v>
      </c>
      <c r="AQ444" s="26"/>
      <c r="AR444" s="26"/>
      <c r="AS444" s="26"/>
      <c r="AT444" s="26"/>
      <c r="AU444" s="26"/>
      <c r="AV444" s="26"/>
      <c r="AW444" s="26"/>
      <c r="AX444" s="26"/>
      <c r="AY444" s="26"/>
      <c r="AZ444" s="86">
        <v>54.028680731346597</v>
      </c>
      <c r="BA444" s="5"/>
    </row>
    <row r="445" spans="1:53" ht="13" customHeight="1">
      <c r="A445" s="24" t="s">
        <v>33</v>
      </c>
      <c r="B445" s="25" t="s">
        <v>384</v>
      </c>
      <c r="C445" s="73"/>
      <c r="D445" s="39" t="s">
        <v>139</v>
      </c>
      <c r="E445" s="24" t="s">
        <v>386</v>
      </c>
      <c r="F445" s="25" t="s">
        <v>258</v>
      </c>
      <c r="G445" s="25" t="s">
        <v>387</v>
      </c>
      <c r="H445" s="38"/>
      <c r="I445" s="200" t="s">
        <v>128</v>
      </c>
      <c r="J445" s="199" t="s">
        <v>141</v>
      </c>
      <c r="K445" s="215">
        <v>57.7</v>
      </c>
      <c r="L445" s="55">
        <v>56.2</v>
      </c>
      <c r="M445" s="34">
        <v>59.7</v>
      </c>
      <c r="N445" s="34">
        <v>60.953000000000003</v>
      </c>
      <c r="O445" s="34">
        <v>63.238</v>
      </c>
      <c r="P445" s="34">
        <v>64.825000000000003</v>
      </c>
      <c r="Q445" s="34">
        <v>77.226536046718493</v>
      </c>
      <c r="R445" s="34">
        <v>78.847619323722796</v>
      </c>
      <c r="S445" s="34">
        <v>80.276056166539803</v>
      </c>
      <c r="T445" s="34">
        <v>82.364874191301894</v>
      </c>
      <c r="U445" s="34">
        <v>84.348806678925499</v>
      </c>
      <c r="V445" s="34">
        <v>86.328815366528204</v>
      </c>
      <c r="W445" s="34">
        <v>88.305345623602605</v>
      </c>
      <c r="X445" s="34">
        <v>88.686278954224306</v>
      </c>
      <c r="Y445" s="34">
        <v>89.072722708449206</v>
      </c>
      <c r="Z445" s="34">
        <v>89.427476562928902</v>
      </c>
      <c r="AA445" s="34">
        <v>89.767186239210901</v>
      </c>
      <c r="AB445" s="34">
        <v>90.025809343488405</v>
      </c>
      <c r="AC445" s="34">
        <v>90.254017120463303</v>
      </c>
      <c r="AD445" s="34">
        <v>90.476540883107603</v>
      </c>
      <c r="AE445" s="34">
        <v>90.668885918866096</v>
      </c>
      <c r="AF445" s="34">
        <v>90.834076333086898</v>
      </c>
      <c r="AG445" s="34">
        <v>90.9776856094133</v>
      </c>
      <c r="AH445" s="34">
        <v>91.087318275204495</v>
      </c>
      <c r="AI445" s="34">
        <v>91.159502158259599</v>
      </c>
      <c r="AJ445" s="34">
        <v>91.180017198794403</v>
      </c>
      <c r="AK445" s="34">
        <v>91.177387018234199</v>
      </c>
      <c r="AL445" s="34">
        <v>91.179754837814002</v>
      </c>
      <c r="AM445" s="34">
        <v>91.167183116266401</v>
      </c>
      <c r="AN445" s="34">
        <v>91.125829698923098</v>
      </c>
      <c r="AO445" s="34">
        <v>91.063824821226206</v>
      </c>
      <c r="AP445" s="34">
        <v>90.976338816434705</v>
      </c>
      <c r="AQ445" s="26"/>
      <c r="AR445" s="26"/>
      <c r="AS445" s="26"/>
      <c r="AT445" s="26"/>
      <c r="AU445" s="26"/>
      <c r="AV445" s="26"/>
      <c r="AW445" s="26"/>
      <c r="AX445" s="26"/>
      <c r="AY445" s="26"/>
      <c r="AZ445" s="86">
        <v>91.581619087543203</v>
      </c>
      <c r="BA445" s="5"/>
    </row>
    <row r="446" spans="1:53" ht="13" customHeight="1">
      <c r="A446" s="24" t="s">
        <v>33</v>
      </c>
      <c r="B446" s="25" t="s">
        <v>384</v>
      </c>
      <c r="C446" s="73"/>
      <c r="D446" s="39" t="s">
        <v>139</v>
      </c>
      <c r="E446" s="24" t="s">
        <v>386</v>
      </c>
      <c r="F446" s="25" t="s">
        <v>258</v>
      </c>
      <c r="G446" s="25" t="s">
        <v>387</v>
      </c>
      <c r="H446" s="38"/>
      <c r="I446" s="208" t="s">
        <v>403</v>
      </c>
      <c r="J446" s="199" t="s">
        <v>98</v>
      </c>
      <c r="K446" s="217">
        <v>0.57719237435008697</v>
      </c>
      <c r="L446" s="46">
        <v>0.59860437722419901</v>
      </c>
      <c r="M446" s="47">
        <v>0.6</v>
      </c>
      <c r="N446" s="47">
        <v>0.58399999999999996</v>
      </c>
      <c r="O446" s="47">
        <v>0.6</v>
      </c>
      <c r="P446" s="47">
        <v>0.56999999999999995</v>
      </c>
      <c r="Q446" s="47">
        <v>0.58399999999999996</v>
      </c>
      <c r="R446" s="47">
        <v>0.59799999999999998</v>
      </c>
      <c r="S446" s="47">
        <v>0.61199999999999999</v>
      </c>
      <c r="T446" s="47">
        <v>0.626</v>
      </c>
      <c r="U446" s="47">
        <v>0.64</v>
      </c>
      <c r="V446" s="47">
        <v>0.65400000000000003</v>
      </c>
      <c r="W446" s="47">
        <v>0.66800000000000004</v>
      </c>
      <c r="X446" s="47">
        <v>0.68200000000000005</v>
      </c>
      <c r="Y446" s="47">
        <v>0.69599999999999995</v>
      </c>
      <c r="Z446" s="47">
        <v>0.71</v>
      </c>
      <c r="AA446" s="47">
        <v>0.72399999999999998</v>
      </c>
      <c r="AB446" s="47">
        <v>0.73799999999999999</v>
      </c>
      <c r="AC446" s="47">
        <v>0.752</v>
      </c>
      <c r="AD446" s="47">
        <v>0.76600000000000001</v>
      </c>
      <c r="AE446" s="47">
        <v>0.78</v>
      </c>
      <c r="AF446" s="47">
        <v>0.79400000000000004</v>
      </c>
      <c r="AG446" s="47">
        <v>0.80800000000000005</v>
      </c>
      <c r="AH446" s="47">
        <v>0.82199999999999995</v>
      </c>
      <c r="AI446" s="47">
        <v>0.83599999999999997</v>
      </c>
      <c r="AJ446" s="47">
        <v>0.85</v>
      </c>
      <c r="AK446" s="47">
        <v>0.86399999999999999</v>
      </c>
      <c r="AL446" s="47">
        <v>0.878</v>
      </c>
      <c r="AM446" s="47">
        <v>0.89200000000000002</v>
      </c>
      <c r="AN446" s="47">
        <v>0.90600000000000003</v>
      </c>
      <c r="AO446" s="47">
        <v>0.92</v>
      </c>
      <c r="AP446" s="47">
        <v>0.93400000000000005</v>
      </c>
      <c r="AQ446" s="65"/>
      <c r="AR446" s="65"/>
      <c r="AS446" s="65"/>
      <c r="AT446" s="65"/>
      <c r="AU446" s="65"/>
      <c r="AV446" s="65"/>
      <c r="AW446" s="65"/>
      <c r="AX446" s="65"/>
      <c r="AY446" s="65"/>
      <c r="AZ446" s="88">
        <v>1</v>
      </c>
      <c r="BA446" s="5"/>
    </row>
    <row r="447" spans="1:53" ht="13" customHeight="1">
      <c r="A447" s="24" t="s">
        <v>33</v>
      </c>
      <c r="B447" s="25" t="s">
        <v>384</v>
      </c>
      <c r="C447" s="73"/>
      <c r="D447" s="39" t="s">
        <v>139</v>
      </c>
      <c r="E447" s="24" t="s">
        <v>386</v>
      </c>
      <c r="F447" s="25" t="s">
        <v>258</v>
      </c>
      <c r="G447" s="25" t="s">
        <v>387</v>
      </c>
      <c r="H447" s="38"/>
      <c r="I447" s="206" t="s">
        <v>404</v>
      </c>
      <c r="J447" s="202" t="s">
        <v>321</v>
      </c>
      <c r="K447" s="215">
        <v>8.7707499999999996</v>
      </c>
      <c r="L447" s="55">
        <v>8.3172320000000006</v>
      </c>
      <c r="M447" s="34">
        <v>8.6453199999999999</v>
      </c>
      <c r="N447" s="34">
        <v>9.4141964579999993</v>
      </c>
      <c r="O447" s="34">
        <v>9.2426899999999996</v>
      </c>
      <c r="P447" s="34">
        <v>9.8809699999999996</v>
      </c>
      <c r="Q447" s="34">
        <v>11.6110000177238</v>
      </c>
      <c r="R447" s="34">
        <v>11.6301215894053</v>
      </c>
      <c r="S447" s="34">
        <v>11.616680787518799</v>
      </c>
      <c r="T447" s="34">
        <v>11.693546233099299</v>
      </c>
      <c r="U447" s="34">
        <v>11.748953332429201</v>
      </c>
      <c r="V447" s="34">
        <v>11.7977714622258</v>
      </c>
      <c r="W447" s="34">
        <v>11.840311630555099</v>
      </c>
      <c r="X447" s="34">
        <v>11.667358610783801</v>
      </c>
      <c r="Y447" s="34">
        <v>11.4976452828473</v>
      </c>
      <c r="Z447" s="34">
        <v>11.326386182226299</v>
      </c>
      <c r="AA447" s="34">
        <v>11.1558435146531</v>
      </c>
      <c r="AB447" s="34">
        <v>10.9780323283789</v>
      </c>
      <c r="AC447" s="34">
        <v>10.7995334736326</v>
      </c>
      <c r="AD447" s="34">
        <v>10.6234063622669</v>
      </c>
      <c r="AE447" s="34">
        <v>10.446814013238299</v>
      </c>
      <c r="AF447" s="34">
        <v>10.2702412799744</v>
      </c>
      <c r="AG447" s="34">
        <v>10.0944235478488</v>
      </c>
      <c r="AH447" s="34">
        <v>9.9180877084745003</v>
      </c>
      <c r="AI447" s="34">
        <v>9.7410105311045108</v>
      </c>
      <c r="AJ447" s="34">
        <v>9.5618622644985294</v>
      </c>
      <c r="AK447" s="34">
        <v>9.3838155686571803</v>
      </c>
      <c r="AL447" s="34">
        <v>9.2097760095387695</v>
      </c>
      <c r="AM447" s="34">
        <v>9.0376680262487508</v>
      </c>
      <c r="AN447" s="34">
        <v>8.8661581891594796</v>
      </c>
      <c r="AO447" s="34">
        <v>8.6961092272518297</v>
      </c>
      <c r="AP447" s="34">
        <v>8.52710706263308</v>
      </c>
      <c r="AQ447" s="26"/>
      <c r="AR447" s="26"/>
      <c r="AS447" s="26"/>
      <c r="AT447" s="26"/>
      <c r="AU447" s="26"/>
      <c r="AV447" s="26"/>
      <c r="AW447" s="26"/>
      <c r="AX447" s="26"/>
      <c r="AY447" s="26"/>
      <c r="AZ447" s="86">
        <v>7.1307120208250501</v>
      </c>
      <c r="BA447" s="5"/>
    </row>
    <row r="448" spans="1:53" ht="13" customHeight="1">
      <c r="A448" s="24" t="s">
        <v>33</v>
      </c>
      <c r="B448" s="25" t="s">
        <v>384</v>
      </c>
      <c r="C448" s="73"/>
      <c r="D448" s="39" t="s">
        <v>139</v>
      </c>
      <c r="E448" s="24" t="s">
        <v>386</v>
      </c>
      <c r="F448" s="25" t="s">
        <v>258</v>
      </c>
      <c r="G448" s="25" t="s">
        <v>387</v>
      </c>
      <c r="H448" s="38"/>
      <c r="I448" s="206" t="s">
        <v>405</v>
      </c>
      <c r="J448" s="202" t="s">
        <v>406</v>
      </c>
      <c r="K448" s="215">
        <v>141.408807188319</v>
      </c>
      <c r="L448" s="55">
        <v>136.08235772339199</v>
      </c>
      <c r="M448" s="34">
        <v>138.15889447236199</v>
      </c>
      <c r="N448" s="34">
        <v>137.84977933817899</v>
      </c>
      <c r="O448" s="34">
        <v>134.12505010953299</v>
      </c>
      <c r="P448" s="34">
        <v>135.56115639748</v>
      </c>
      <c r="Q448" s="34">
        <v>132.56079164844601</v>
      </c>
      <c r="R448" s="34">
        <v>128.760802446556</v>
      </c>
      <c r="S448" s="34">
        <v>125.061683638885</v>
      </c>
      <c r="T448" s="34">
        <v>121.46088007738599</v>
      </c>
      <c r="U448" s="34">
        <v>117.95589932962</v>
      </c>
      <c r="V448" s="34">
        <v>114.544310173949</v>
      </c>
      <c r="W448" s="34">
        <v>111.223741130227</v>
      </c>
      <c r="X448" s="34">
        <v>107.99187902514799</v>
      </c>
      <c r="Y448" s="34">
        <v>104.846467591471</v>
      </c>
      <c r="Z448" s="34">
        <v>101.785306100298</v>
      </c>
      <c r="AA448" s="34">
        <v>98.8062480256729</v>
      </c>
      <c r="AB448" s="34">
        <v>95.907199740714603</v>
      </c>
      <c r="AC448" s="34">
        <v>93.0861192445727</v>
      </c>
      <c r="AD448" s="34">
        <v>92.15</v>
      </c>
      <c r="AE448" s="34">
        <v>92.15</v>
      </c>
      <c r="AF448" s="34">
        <v>92.15</v>
      </c>
      <c r="AG448" s="34">
        <v>92.15</v>
      </c>
      <c r="AH448" s="34">
        <v>92.15</v>
      </c>
      <c r="AI448" s="34">
        <v>92.15</v>
      </c>
      <c r="AJ448" s="34">
        <v>92.15</v>
      </c>
      <c r="AK448" s="34">
        <v>92.15</v>
      </c>
      <c r="AL448" s="34">
        <v>92.15</v>
      </c>
      <c r="AM448" s="34">
        <v>92.15</v>
      </c>
      <c r="AN448" s="34">
        <v>92.15</v>
      </c>
      <c r="AO448" s="34">
        <v>92.15</v>
      </c>
      <c r="AP448" s="34">
        <v>92.15</v>
      </c>
      <c r="AQ448" s="26"/>
      <c r="AR448" s="26"/>
      <c r="AS448" s="26"/>
      <c r="AT448" s="26"/>
      <c r="AU448" s="26"/>
      <c r="AV448" s="26"/>
      <c r="AW448" s="26"/>
      <c r="AX448" s="26"/>
      <c r="AY448" s="26"/>
      <c r="AZ448" s="84">
        <v>92.15</v>
      </c>
      <c r="BA448" s="5"/>
    </row>
    <row r="449" spans="1:53" ht="11.4" customHeight="1">
      <c r="A449" s="24" t="s">
        <v>33</v>
      </c>
      <c r="B449" s="25" t="s">
        <v>384</v>
      </c>
      <c r="C449" s="73"/>
      <c r="D449" s="39" t="s">
        <v>139</v>
      </c>
      <c r="E449" s="24" t="s">
        <v>386</v>
      </c>
      <c r="F449" s="25" t="s">
        <v>258</v>
      </c>
      <c r="G449" s="25" t="s">
        <v>387</v>
      </c>
      <c r="H449" s="38"/>
      <c r="I449" s="210" t="s">
        <v>407</v>
      </c>
      <c r="J449" s="202" t="s">
        <v>267</v>
      </c>
      <c r="K449" s="215">
        <v>42.930769293083998</v>
      </c>
      <c r="L449" s="55">
        <v>40.199870105229103</v>
      </c>
      <c r="M449" s="34">
        <v>42.690444324463201</v>
      </c>
      <c r="N449" s="34">
        <v>42.784135844539698</v>
      </c>
      <c r="O449" s="34">
        <v>44.176058364148503</v>
      </c>
      <c r="P449" s="34">
        <v>46.242804148302199</v>
      </c>
      <c r="Q449" s="34">
        <v>51.602897772842397</v>
      </c>
      <c r="R449" s="34">
        <v>51.813223031128302</v>
      </c>
      <c r="S449" s="34">
        <v>51.882328758064403</v>
      </c>
      <c r="T449" s="34">
        <v>52.319588917748298</v>
      </c>
      <c r="U449" s="34">
        <v>52.6853019520874</v>
      </c>
      <c r="V449" s="34">
        <v>53.017466477536303</v>
      </c>
      <c r="W449" s="34">
        <v>53.319004584439597</v>
      </c>
      <c r="X449" s="34">
        <v>52.6953255914962</v>
      </c>
      <c r="Y449" s="34">
        <v>52.088354846101801</v>
      </c>
      <c r="Z449" s="34">
        <v>51.470460217072002</v>
      </c>
      <c r="AA449" s="34">
        <v>49.855749849692202</v>
      </c>
      <c r="AB449" s="34">
        <v>48.213767394929199</v>
      </c>
      <c r="AC449" s="34">
        <v>46.576274464375601</v>
      </c>
      <c r="AD449" s="34">
        <v>44.960519466266902</v>
      </c>
      <c r="AE449" s="34">
        <v>43.364307256628997</v>
      </c>
      <c r="AF449" s="34">
        <v>41.787024610594898</v>
      </c>
      <c r="AG449" s="34">
        <v>40.239094058397697</v>
      </c>
      <c r="AH449" s="34">
        <v>38.721606164194803</v>
      </c>
      <c r="AI449" s="34">
        <v>37.2305093532336</v>
      </c>
      <c r="AJ449" s="34">
        <v>35.758206114871498</v>
      </c>
      <c r="AK449" s="34">
        <v>34.310671985298399</v>
      </c>
      <c r="AL449" s="34">
        <v>32.907028946358899</v>
      </c>
      <c r="AM449" s="34">
        <v>31.527342099269099</v>
      </c>
      <c r="AN449" s="34">
        <v>30.174666955889599</v>
      </c>
      <c r="AO449" s="34">
        <v>28.852427991048</v>
      </c>
      <c r="AP449" s="34">
        <v>27.597220891289201</v>
      </c>
      <c r="AQ449" s="26"/>
      <c r="AR449" s="26"/>
      <c r="AS449" s="26"/>
      <c r="AT449" s="26"/>
      <c r="AU449" s="26"/>
      <c r="AV449" s="26"/>
      <c r="AW449" s="26"/>
      <c r="AX449" s="26"/>
      <c r="AY449" s="26"/>
      <c r="AZ449" s="84">
        <v>16.5217490691652</v>
      </c>
      <c r="BA449" s="5"/>
    </row>
    <row r="450" spans="1:53" ht="13" customHeight="1">
      <c r="A450" s="24" t="s">
        <v>33</v>
      </c>
      <c r="B450" s="25" t="s">
        <v>384</v>
      </c>
      <c r="C450" s="73"/>
      <c r="D450" s="39" t="s">
        <v>139</v>
      </c>
      <c r="E450" s="24" t="s">
        <v>386</v>
      </c>
      <c r="F450" s="25" t="s">
        <v>258</v>
      </c>
      <c r="G450" s="25" t="s">
        <v>387</v>
      </c>
      <c r="H450" s="38"/>
      <c r="I450" s="206" t="s">
        <v>408</v>
      </c>
      <c r="J450" s="202" t="s">
        <v>383</v>
      </c>
      <c r="K450" s="215">
        <v>671</v>
      </c>
      <c r="L450" s="55">
        <v>662</v>
      </c>
      <c r="M450" s="34">
        <v>665.57595752027896</v>
      </c>
      <c r="N450" s="34">
        <v>669.15191504055895</v>
      </c>
      <c r="O450" s="34">
        <v>664.57255516369798</v>
      </c>
      <c r="P450" s="34">
        <v>676.48767357007205</v>
      </c>
      <c r="Q450" s="34">
        <v>638.45252708118005</v>
      </c>
      <c r="R450" s="34">
        <v>628.27434331159202</v>
      </c>
      <c r="S450" s="34">
        <v>618.22609087119702</v>
      </c>
      <c r="T450" s="34">
        <v>608.08746553291201</v>
      </c>
      <c r="U450" s="34">
        <v>598.21259448998603</v>
      </c>
      <c r="V450" s="34">
        <v>588.41631675037002</v>
      </c>
      <c r="W450" s="34">
        <v>578.85802538557198</v>
      </c>
      <c r="X450" s="34">
        <v>569.881283059927</v>
      </c>
      <c r="Y450" s="34">
        <v>561.08147679002502</v>
      </c>
      <c r="Z450" s="34">
        <v>552.42669455303997</v>
      </c>
      <c r="AA450" s="34">
        <v>543.93089671950804</v>
      </c>
      <c r="AB450" s="34">
        <v>535.52637945147296</v>
      </c>
      <c r="AC450" s="34">
        <v>527.14546631830899</v>
      </c>
      <c r="AD450" s="34">
        <v>518.84087756399003</v>
      </c>
      <c r="AE450" s="34">
        <v>510.65992273293398</v>
      </c>
      <c r="AF450" s="34">
        <v>502.60317952841098</v>
      </c>
      <c r="AG450" s="34">
        <v>494.71550819317599</v>
      </c>
      <c r="AH450" s="34">
        <v>487.032758257132</v>
      </c>
      <c r="AI450" s="34">
        <v>479.53342485866199</v>
      </c>
      <c r="AJ450" s="34">
        <v>472.18511666808001</v>
      </c>
      <c r="AK450" s="34">
        <v>464.96433872357898</v>
      </c>
      <c r="AL450" s="34">
        <v>457.86401123990498</v>
      </c>
      <c r="AM450" s="34">
        <v>450.88301235899098</v>
      </c>
      <c r="AN450" s="34">
        <v>444.02057378153103</v>
      </c>
      <c r="AO450" s="34">
        <v>437.36122221291799</v>
      </c>
      <c r="AP450" s="34">
        <v>430.80859682733399</v>
      </c>
      <c r="AQ450" s="26"/>
      <c r="AR450" s="26"/>
      <c r="AS450" s="26"/>
      <c r="AT450" s="26"/>
      <c r="AU450" s="26"/>
      <c r="AV450" s="26"/>
      <c r="AW450" s="26"/>
      <c r="AX450" s="26"/>
      <c r="AY450" s="26"/>
      <c r="AZ450" s="84">
        <v>369.853997208208</v>
      </c>
      <c r="BA450" s="5"/>
    </row>
    <row r="451" spans="1:53" ht="11.4" customHeight="1">
      <c r="A451" s="39" t="s">
        <v>34</v>
      </c>
      <c r="B451" s="25" t="s">
        <v>384</v>
      </c>
      <c r="C451" s="73"/>
      <c r="D451" s="39" t="s">
        <v>409</v>
      </c>
      <c r="E451" s="24" t="s">
        <v>386</v>
      </c>
      <c r="F451" s="25" t="s">
        <v>258</v>
      </c>
      <c r="G451" s="25" t="s">
        <v>387</v>
      </c>
      <c r="H451" s="96"/>
      <c r="I451" s="177" t="s">
        <v>410</v>
      </c>
      <c r="J451" s="202" t="s">
        <v>267</v>
      </c>
      <c r="K451" s="219">
        <v>496.05192186301502</v>
      </c>
      <c r="L451" s="102">
        <v>505.33304536006398</v>
      </c>
      <c r="M451" s="99">
        <v>520.43542419263201</v>
      </c>
      <c r="N451" s="99">
        <v>494.192506885228</v>
      </c>
      <c r="O451" s="99">
        <v>467.94958957782399</v>
      </c>
      <c r="P451" s="99">
        <v>441.70667227041997</v>
      </c>
      <c r="Q451" s="99">
        <v>430.60984478904999</v>
      </c>
      <c r="R451" s="99">
        <v>413.63178049995997</v>
      </c>
      <c r="S451" s="99">
        <v>407.03200909786801</v>
      </c>
      <c r="T451" s="99">
        <v>402.11122486171502</v>
      </c>
      <c r="U451" s="99">
        <v>391.12716561552901</v>
      </c>
      <c r="V451" s="99">
        <v>385.24380077976201</v>
      </c>
      <c r="W451" s="99">
        <v>378.64968698651802</v>
      </c>
      <c r="X451" s="99">
        <v>373.63998138206199</v>
      </c>
      <c r="Y451" s="99">
        <v>356.073731397637</v>
      </c>
      <c r="Z451" s="99">
        <v>342.17285343711001</v>
      </c>
      <c r="AA451" s="99">
        <v>329.02363921505099</v>
      </c>
      <c r="AB451" s="99">
        <v>316.22952652310801</v>
      </c>
      <c r="AC451" s="99">
        <v>302.80611150728299</v>
      </c>
      <c r="AD451" s="99">
        <v>289.53075646518698</v>
      </c>
      <c r="AE451" s="99">
        <v>276.05867970942199</v>
      </c>
      <c r="AF451" s="99">
        <v>264.53089510254199</v>
      </c>
      <c r="AG451" s="99">
        <v>252.982476742286</v>
      </c>
      <c r="AH451" s="99">
        <v>239.55758594105799</v>
      </c>
      <c r="AI451" s="99">
        <v>225.905237434258</v>
      </c>
      <c r="AJ451" s="99">
        <v>218.889365716409</v>
      </c>
      <c r="AK451" s="99">
        <v>214.186770037277</v>
      </c>
      <c r="AL451" s="99">
        <v>208.472411978325</v>
      </c>
      <c r="AM451" s="99">
        <v>203.91648130445299</v>
      </c>
      <c r="AN451" s="99">
        <v>198.315815270397</v>
      </c>
      <c r="AO451" s="99">
        <v>194.010273226506</v>
      </c>
      <c r="AP451" s="99">
        <v>184.318227594229</v>
      </c>
      <c r="AQ451" s="99">
        <v>180.622519934237</v>
      </c>
      <c r="AR451" s="99">
        <v>177.08123890021599</v>
      </c>
      <c r="AS451" s="99">
        <v>173.731105107974</v>
      </c>
      <c r="AT451" s="99">
        <v>169.110160340362</v>
      </c>
      <c r="AU451" s="99">
        <v>164.79509045544401</v>
      </c>
      <c r="AV451" s="99">
        <v>160.57031428314599</v>
      </c>
      <c r="AW451" s="99">
        <v>157.75126737372901</v>
      </c>
      <c r="AX451" s="99">
        <v>155.30839765478501</v>
      </c>
      <c r="AY451" s="99">
        <v>151.09086364050299</v>
      </c>
      <c r="AZ451" s="101">
        <v>148.84121624941599</v>
      </c>
      <c r="BA451" s="5"/>
    </row>
    <row r="452" spans="1:53" ht="12.65" customHeight="1">
      <c r="A452" s="39" t="s">
        <v>34</v>
      </c>
      <c r="B452" s="25" t="s">
        <v>384</v>
      </c>
      <c r="C452" s="73"/>
      <c r="D452" s="39" t="s">
        <v>409</v>
      </c>
      <c r="E452" s="24" t="s">
        <v>388</v>
      </c>
      <c r="F452" s="25" t="s">
        <v>389</v>
      </c>
      <c r="G452" s="25" t="s">
        <v>259</v>
      </c>
      <c r="H452" s="96"/>
      <c r="I452" s="177" t="s">
        <v>410</v>
      </c>
      <c r="J452" s="202" t="s">
        <v>267</v>
      </c>
      <c r="K452" s="219">
        <v>496.05192186301502</v>
      </c>
      <c r="L452" s="98">
        <v>505.33304536006398</v>
      </c>
      <c r="M452" s="100">
        <v>530.06783259091401</v>
      </c>
      <c r="N452" s="100">
        <v>484.385255003466</v>
      </c>
      <c r="O452" s="100">
        <v>458.777243885845</v>
      </c>
      <c r="P452" s="100">
        <v>452.16618032774602</v>
      </c>
      <c r="Q452" s="100">
        <v>444.20299799858799</v>
      </c>
      <c r="R452" s="100">
        <v>442.16605632869602</v>
      </c>
      <c r="S452" s="100">
        <v>439.89424338825597</v>
      </c>
      <c r="T452" s="100">
        <v>440.01718209765698</v>
      </c>
      <c r="U452" s="100">
        <v>440.20734983487301</v>
      </c>
      <c r="V452" s="100">
        <v>440.510982194017</v>
      </c>
      <c r="W452" s="100">
        <v>438.41772302759898</v>
      </c>
      <c r="X452" s="100">
        <v>434.69803536850401</v>
      </c>
      <c r="Y452" s="100">
        <v>429.13373358710601</v>
      </c>
      <c r="Z452" s="100">
        <v>423.863913749924</v>
      </c>
      <c r="AA452" s="100">
        <v>418.63530830330097</v>
      </c>
      <c r="AB452" s="100">
        <v>413.31666686390298</v>
      </c>
      <c r="AC452" s="100">
        <v>406.84609688018099</v>
      </c>
      <c r="AD452" s="100">
        <v>400.22107356843401</v>
      </c>
      <c r="AE452" s="100">
        <v>393.69883550376198</v>
      </c>
      <c r="AF452" s="100">
        <v>389.36104736502199</v>
      </c>
      <c r="AG452" s="100">
        <v>385.09408510028999</v>
      </c>
      <c r="AH452" s="100">
        <v>378.67792533439501</v>
      </c>
      <c r="AI452" s="100">
        <v>372.319839206479</v>
      </c>
      <c r="AJ452" s="100">
        <v>366.39085040398697</v>
      </c>
      <c r="AK452" s="100">
        <v>360.584475796719</v>
      </c>
      <c r="AL452" s="100">
        <v>354.56112784250303</v>
      </c>
      <c r="AM452" s="100">
        <v>348.39026881932199</v>
      </c>
      <c r="AN452" s="100">
        <v>342.08711647195503</v>
      </c>
      <c r="AO452" s="100">
        <v>335.88312300692098</v>
      </c>
      <c r="AP452" s="100">
        <v>327.085193258603</v>
      </c>
      <c r="AQ452" s="100">
        <v>324.03111733716503</v>
      </c>
      <c r="AR452" s="100">
        <v>318.81120800769997</v>
      </c>
      <c r="AS452" s="100">
        <v>313.73981311307801</v>
      </c>
      <c r="AT452" s="100">
        <v>308.83097690023601</v>
      </c>
      <c r="AU452" s="100">
        <v>303.95310261891899</v>
      </c>
      <c r="AV452" s="100">
        <v>299.25528524836</v>
      </c>
      <c r="AW452" s="100">
        <v>294.52515517003701</v>
      </c>
      <c r="AX452" s="100">
        <v>289.76686735588299</v>
      </c>
      <c r="AY452" s="100">
        <v>285.12848729500502</v>
      </c>
      <c r="AZ452" s="220">
        <v>280.52851607069999</v>
      </c>
      <c r="BA452" s="5"/>
    </row>
    <row r="453" spans="1:53" ht="12.65" customHeight="1">
      <c r="A453" s="39" t="s">
        <v>34</v>
      </c>
      <c r="B453" s="25" t="s">
        <v>384</v>
      </c>
      <c r="C453" s="73"/>
      <c r="D453" s="39" t="s">
        <v>409</v>
      </c>
      <c r="E453" s="24" t="s">
        <v>411</v>
      </c>
      <c r="F453" s="25" t="s">
        <v>258</v>
      </c>
      <c r="G453" s="25" t="s">
        <v>387</v>
      </c>
      <c r="H453" s="96"/>
      <c r="I453" s="177" t="s">
        <v>410</v>
      </c>
      <c r="J453" s="202" t="s">
        <v>267</v>
      </c>
      <c r="K453" s="219">
        <v>496.05192186301502</v>
      </c>
      <c r="L453" s="98">
        <v>505.33304536006398</v>
      </c>
      <c r="M453" s="100">
        <v>520.43542419263201</v>
      </c>
      <c r="N453" s="100">
        <v>477.97064049993298</v>
      </c>
      <c r="O453" s="100">
        <v>451.48205395921701</v>
      </c>
      <c r="P453" s="100">
        <v>442.00908745944702</v>
      </c>
      <c r="Q453" s="100">
        <v>430.46922357455998</v>
      </c>
      <c r="R453" s="100">
        <v>413.46373963207202</v>
      </c>
      <c r="S453" s="100">
        <v>406.83871280208399</v>
      </c>
      <c r="T453" s="100">
        <v>401.84082931064802</v>
      </c>
      <c r="U453" s="100">
        <v>390.778684326963</v>
      </c>
      <c r="V453" s="100">
        <v>384.92869483817702</v>
      </c>
      <c r="W453" s="100">
        <v>378.29770613442599</v>
      </c>
      <c r="X453" s="100">
        <v>374.025397870917</v>
      </c>
      <c r="Y453" s="100">
        <v>358.24395779848402</v>
      </c>
      <c r="Z453" s="100">
        <v>345.27925439842301</v>
      </c>
      <c r="AA453" s="100">
        <v>334.478024777678</v>
      </c>
      <c r="AB453" s="100">
        <v>323.97409165798399</v>
      </c>
      <c r="AC453" s="100">
        <v>315.11726885508602</v>
      </c>
      <c r="AD453" s="100">
        <v>306.15025129947003</v>
      </c>
      <c r="AE453" s="100">
        <v>290.89429830931903</v>
      </c>
      <c r="AF453" s="100">
        <v>275.56040727169699</v>
      </c>
      <c r="AG453" s="100">
        <v>260.66361612209698</v>
      </c>
      <c r="AH453" s="100">
        <v>246.14730274972001</v>
      </c>
      <c r="AI453" s="100">
        <v>231.37190891881301</v>
      </c>
      <c r="AJ453" s="100">
        <v>223.141451841026</v>
      </c>
      <c r="AK453" s="100">
        <v>217.28525093800499</v>
      </c>
      <c r="AL453" s="100">
        <v>211.43276264458001</v>
      </c>
      <c r="AM453" s="100">
        <v>205.667294750932</v>
      </c>
      <c r="AN453" s="100">
        <v>199.98253631900999</v>
      </c>
      <c r="AO453" s="100">
        <v>194.44429516532401</v>
      </c>
      <c r="AP453" s="100">
        <v>181.79197698439</v>
      </c>
      <c r="AQ453" s="100">
        <v>176.76507969277699</v>
      </c>
      <c r="AR453" s="100">
        <v>171.95677112117301</v>
      </c>
      <c r="AS453" s="100">
        <v>167.33804660690501</v>
      </c>
      <c r="AT453" s="100">
        <v>162.89133691476101</v>
      </c>
      <c r="AU453" s="100">
        <v>158.53444146073201</v>
      </c>
      <c r="AV453" s="100">
        <v>154.35401497218399</v>
      </c>
      <c r="AW453" s="100">
        <v>150.295238143077</v>
      </c>
      <c r="AX453" s="100">
        <v>146.34686886749299</v>
      </c>
      <c r="AY453" s="100">
        <v>142.498423040966</v>
      </c>
      <c r="AZ453" s="220">
        <v>138.74223045396201</v>
      </c>
      <c r="BA453" s="5"/>
    </row>
    <row r="454" spans="1:53" ht="12" customHeight="1">
      <c r="A454" s="39" t="s">
        <v>34</v>
      </c>
      <c r="B454" s="25" t="s">
        <v>384</v>
      </c>
      <c r="C454" s="73"/>
      <c r="D454" s="39" t="s">
        <v>409</v>
      </c>
      <c r="E454" s="24" t="s">
        <v>386</v>
      </c>
      <c r="F454" s="25" t="s">
        <v>258</v>
      </c>
      <c r="G454" s="25" t="s">
        <v>387</v>
      </c>
      <c r="H454" s="96"/>
      <c r="I454" s="206" t="s">
        <v>412</v>
      </c>
      <c r="J454" s="202" t="s">
        <v>321</v>
      </c>
      <c r="K454" s="134">
        <f>228.8</f>
        <v>228.8</v>
      </c>
      <c r="L454" s="31"/>
      <c r="M454" s="26">
        <f>276</f>
        <v>276</v>
      </c>
      <c r="N454" s="26"/>
      <c r="O454" s="26"/>
      <c r="P454" s="26"/>
      <c r="Q454" s="26"/>
      <c r="R454" s="26"/>
      <c r="S454" s="26"/>
      <c r="T454" s="26"/>
      <c r="U454" s="26"/>
      <c r="V454" s="26">
        <f>245</f>
        <v>245</v>
      </c>
      <c r="W454" s="26"/>
      <c r="X454" s="26"/>
      <c r="Y454" s="26"/>
      <c r="Z454" s="26"/>
      <c r="AA454" s="26"/>
      <c r="AB454" s="26"/>
      <c r="AC454" s="26"/>
      <c r="AD454" s="26"/>
      <c r="AE454" s="26"/>
      <c r="AF454" s="26">
        <f>207</f>
        <v>207</v>
      </c>
      <c r="AG454" s="26"/>
      <c r="AH454" s="26"/>
      <c r="AI454" s="26"/>
      <c r="AJ454" s="26"/>
      <c r="AK454" s="26"/>
      <c r="AL454" s="26"/>
      <c r="AM454" s="26"/>
      <c r="AN454" s="26"/>
      <c r="AO454" s="26"/>
      <c r="AP454" s="26">
        <f>182</f>
        <v>182</v>
      </c>
      <c r="AQ454" s="26"/>
      <c r="AR454" s="26"/>
      <c r="AS454" s="26"/>
      <c r="AT454" s="26"/>
      <c r="AU454" s="26"/>
      <c r="AV454" s="26"/>
      <c r="AW454" s="26"/>
      <c r="AX454" s="26"/>
      <c r="AY454" s="26"/>
      <c r="AZ454" s="32">
        <f>162</f>
        <v>162</v>
      </c>
      <c r="BA454" s="5"/>
    </row>
    <row r="455" spans="1:53" ht="12" customHeight="1">
      <c r="A455" s="39" t="s">
        <v>34</v>
      </c>
      <c r="B455" s="25" t="s">
        <v>384</v>
      </c>
      <c r="C455" s="73"/>
      <c r="D455" s="39" t="s">
        <v>409</v>
      </c>
      <c r="E455" s="24" t="s">
        <v>386</v>
      </c>
      <c r="F455" s="25" t="s">
        <v>258</v>
      </c>
      <c r="G455" s="25" t="s">
        <v>387</v>
      </c>
      <c r="H455" s="96"/>
      <c r="I455" s="208" t="s">
        <v>413</v>
      </c>
      <c r="J455" s="199" t="s">
        <v>98</v>
      </c>
      <c r="K455" s="217">
        <f>0.25</f>
        <v>0.25</v>
      </c>
      <c r="L455" s="31"/>
      <c r="M455" s="63">
        <f>0.22</f>
        <v>0.22</v>
      </c>
      <c r="N455" s="26"/>
      <c r="O455" s="26"/>
      <c r="P455" s="26"/>
      <c r="Q455" s="26"/>
      <c r="R455" s="26"/>
      <c r="S455" s="26"/>
      <c r="T455" s="26"/>
      <c r="U455" s="26"/>
      <c r="V455" s="63">
        <f>0.25</f>
        <v>0.25</v>
      </c>
      <c r="W455" s="26"/>
      <c r="X455" s="26"/>
      <c r="Y455" s="26"/>
      <c r="Z455" s="26"/>
      <c r="AA455" s="26"/>
      <c r="AB455" s="26"/>
      <c r="AC455" s="26"/>
      <c r="AD455" s="26"/>
      <c r="AE455" s="26"/>
      <c r="AF455" s="63">
        <f>0.33</f>
        <v>0.33</v>
      </c>
      <c r="AG455" s="26"/>
      <c r="AH455" s="26"/>
      <c r="AI455" s="26"/>
      <c r="AJ455" s="26"/>
      <c r="AK455" s="26"/>
      <c r="AL455" s="26"/>
      <c r="AM455" s="26"/>
      <c r="AN455" s="26"/>
      <c r="AO455" s="26"/>
      <c r="AP455" s="63">
        <f>0.41</f>
        <v>0.41</v>
      </c>
      <c r="AQ455" s="26"/>
      <c r="AR455" s="26"/>
      <c r="AS455" s="26"/>
      <c r="AT455" s="26"/>
      <c r="AU455" s="26"/>
      <c r="AV455" s="26"/>
      <c r="AW455" s="26"/>
      <c r="AX455" s="26"/>
      <c r="AY455" s="26"/>
      <c r="AZ455" s="104">
        <f>0.49</f>
        <v>0.49</v>
      </c>
      <c r="BA455" s="5"/>
    </row>
    <row r="456" spans="1:53" ht="13" customHeight="1">
      <c r="A456" s="39" t="s">
        <v>34</v>
      </c>
      <c r="B456" s="25" t="s">
        <v>384</v>
      </c>
      <c r="C456" s="73"/>
      <c r="D456" s="39" t="s">
        <v>409</v>
      </c>
      <c r="E456" s="24" t="s">
        <v>386</v>
      </c>
      <c r="F456" s="25" t="s">
        <v>258</v>
      </c>
      <c r="G456" s="25" t="s">
        <v>387</v>
      </c>
      <c r="H456" s="96"/>
      <c r="I456" s="206" t="s">
        <v>103</v>
      </c>
      <c r="J456" s="202" t="s">
        <v>141</v>
      </c>
      <c r="K456" s="134"/>
      <c r="L456" s="31"/>
      <c r="M456" s="26">
        <f>71</f>
        <v>71</v>
      </c>
      <c r="N456" s="26"/>
      <c r="O456" s="26"/>
      <c r="P456" s="26"/>
      <c r="Q456" s="26"/>
      <c r="R456" s="26"/>
      <c r="S456" s="26"/>
      <c r="T456" s="26"/>
      <c r="U456" s="26"/>
      <c r="V456" s="26">
        <f>78</f>
        <v>78</v>
      </c>
      <c r="W456" s="26"/>
      <c r="X456" s="26"/>
      <c r="Y456" s="26"/>
      <c r="Z456" s="26"/>
      <c r="AA456" s="26"/>
      <c r="AB456" s="26"/>
      <c r="AC456" s="26"/>
      <c r="AD456" s="26"/>
      <c r="AE456" s="26"/>
      <c r="AF456" s="26">
        <f>80</f>
        <v>80</v>
      </c>
      <c r="AG456" s="26"/>
      <c r="AH456" s="26"/>
      <c r="AI456" s="26"/>
      <c r="AJ456" s="26"/>
      <c r="AK456" s="26"/>
      <c r="AL456" s="26"/>
      <c r="AM456" s="26"/>
      <c r="AN456" s="26"/>
      <c r="AO456" s="26"/>
      <c r="AP456" s="26">
        <f>74</f>
        <v>74</v>
      </c>
      <c r="AQ456" s="26"/>
      <c r="AR456" s="26"/>
      <c r="AS456" s="26"/>
      <c r="AT456" s="26"/>
      <c r="AU456" s="26"/>
      <c r="AV456" s="26"/>
      <c r="AW456" s="26"/>
      <c r="AX456" s="26"/>
      <c r="AY456" s="26"/>
      <c r="AZ456" s="32">
        <f>70</f>
        <v>70</v>
      </c>
      <c r="BA456" s="5"/>
    </row>
    <row r="457" spans="1:53" ht="13" customHeight="1">
      <c r="A457" s="39" t="s">
        <v>34</v>
      </c>
      <c r="B457" s="25" t="s">
        <v>384</v>
      </c>
      <c r="C457" s="73"/>
      <c r="D457" s="39" t="s">
        <v>409</v>
      </c>
      <c r="E457" s="24" t="s">
        <v>386</v>
      </c>
      <c r="F457" s="25" t="s">
        <v>258</v>
      </c>
      <c r="G457" s="25" t="s">
        <v>387</v>
      </c>
      <c r="H457" s="96"/>
      <c r="I457" s="208" t="s">
        <v>414</v>
      </c>
      <c r="J457" s="199" t="s">
        <v>98</v>
      </c>
      <c r="K457" s="134"/>
      <c r="L457" s="31"/>
      <c r="M457" s="63">
        <f>0.35</f>
        <v>0.35</v>
      </c>
      <c r="N457" s="26"/>
      <c r="O457" s="26"/>
      <c r="P457" s="26"/>
      <c r="Q457" s="26"/>
      <c r="R457" s="26"/>
      <c r="S457" s="26"/>
      <c r="T457" s="26"/>
      <c r="U457" s="26"/>
      <c r="V457" s="63">
        <f>0.53</f>
        <v>0.53</v>
      </c>
      <c r="W457" s="26"/>
      <c r="X457" s="26"/>
      <c r="Y457" s="26"/>
      <c r="Z457" s="26"/>
      <c r="AA457" s="26"/>
      <c r="AB457" s="26"/>
      <c r="AC457" s="26"/>
      <c r="AD457" s="26"/>
      <c r="AE457" s="26"/>
      <c r="AF457" s="63">
        <f>0.83</f>
        <v>0.83</v>
      </c>
      <c r="AG457" s="26"/>
      <c r="AH457" s="26"/>
      <c r="AI457" s="26"/>
      <c r="AJ457" s="26"/>
      <c r="AK457" s="26"/>
      <c r="AL457" s="26"/>
      <c r="AM457" s="26"/>
      <c r="AN457" s="26"/>
      <c r="AO457" s="26"/>
      <c r="AP457" s="63">
        <f>1</f>
        <v>1</v>
      </c>
      <c r="AQ457" s="26"/>
      <c r="AR457" s="26"/>
      <c r="AS457" s="26"/>
      <c r="AT457" s="26"/>
      <c r="AU457" s="26"/>
      <c r="AV457" s="26"/>
      <c r="AW457" s="26"/>
      <c r="AX457" s="26"/>
      <c r="AY457" s="26"/>
      <c r="AZ457" s="104">
        <f>1</f>
        <v>1</v>
      </c>
      <c r="BA457" s="5"/>
    </row>
    <row r="458" spans="1:53" ht="13" customHeight="1">
      <c r="A458" s="39" t="s">
        <v>34</v>
      </c>
      <c r="B458" s="25" t="s">
        <v>384</v>
      </c>
      <c r="C458" s="73"/>
      <c r="D458" s="39" t="s">
        <v>409</v>
      </c>
      <c r="E458" s="24" t="s">
        <v>386</v>
      </c>
      <c r="F458" s="25" t="s">
        <v>258</v>
      </c>
      <c r="G458" s="25" t="s">
        <v>387</v>
      </c>
      <c r="H458" s="96"/>
      <c r="I458" s="198" t="s">
        <v>347</v>
      </c>
      <c r="J458" s="199" t="s">
        <v>141</v>
      </c>
      <c r="K458" s="134"/>
      <c r="L458" s="31"/>
      <c r="M458" s="26">
        <f>8</f>
        <v>8</v>
      </c>
      <c r="N458" s="26"/>
      <c r="O458" s="26"/>
      <c r="P458" s="26"/>
      <c r="Q458" s="26"/>
      <c r="R458" s="26"/>
      <c r="S458" s="26"/>
      <c r="T458" s="26"/>
      <c r="U458" s="26"/>
      <c r="V458" s="26">
        <f>18</f>
        <v>18</v>
      </c>
      <c r="W458" s="26"/>
      <c r="X458" s="26"/>
      <c r="Y458" s="26"/>
      <c r="Z458" s="26"/>
      <c r="AA458" s="26"/>
      <c r="AB458" s="26"/>
      <c r="AC458" s="26"/>
      <c r="AD458" s="26"/>
      <c r="AE458" s="26"/>
      <c r="AF458" s="26">
        <f>37</f>
        <v>37</v>
      </c>
      <c r="AG458" s="26"/>
      <c r="AH458" s="26"/>
      <c r="AI458" s="26"/>
      <c r="AJ458" s="26"/>
      <c r="AK458" s="26"/>
      <c r="AL458" s="26"/>
      <c r="AM458" s="26"/>
      <c r="AN458" s="26"/>
      <c r="AO458" s="26"/>
      <c r="AP458" s="106">
        <f>45</f>
        <v>45</v>
      </c>
      <c r="AQ458" s="26"/>
      <c r="AR458" s="26"/>
      <c r="AS458" s="26"/>
      <c r="AT458" s="26"/>
      <c r="AU458" s="26"/>
      <c r="AV458" s="26"/>
      <c r="AW458" s="26"/>
      <c r="AX458" s="26"/>
      <c r="AY458" s="26"/>
      <c r="AZ458" s="32">
        <f>47</f>
        <v>47</v>
      </c>
      <c r="BA458" s="5"/>
    </row>
    <row r="459" spans="1:53" ht="13" customHeight="1">
      <c r="A459" s="39" t="s">
        <v>34</v>
      </c>
      <c r="B459" s="25" t="s">
        <v>384</v>
      </c>
      <c r="C459" s="73"/>
      <c r="D459" s="39" t="s">
        <v>409</v>
      </c>
      <c r="E459" s="24" t="s">
        <v>386</v>
      </c>
      <c r="F459" s="25" t="s">
        <v>258</v>
      </c>
      <c r="G459" s="25" t="s">
        <v>387</v>
      </c>
      <c r="H459" s="96"/>
      <c r="I459" s="208" t="s">
        <v>415</v>
      </c>
      <c r="J459" s="199" t="s">
        <v>141</v>
      </c>
      <c r="K459" s="134"/>
      <c r="L459" s="31"/>
      <c r="M459" s="26">
        <f>0</f>
        <v>0</v>
      </c>
      <c r="N459" s="26"/>
      <c r="O459" s="26"/>
      <c r="P459" s="26"/>
      <c r="Q459" s="26"/>
      <c r="R459" s="26"/>
      <c r="S459" s="26"/>
      <c r="T459" s="26"/>
      <c r="U459" s="26"/>
      <c r="V459" s="26">
        <f>0</f>
        <v>0</v>
      </c>
      <c r="W459" s="26"/>
      <c r="X459" s="26"/>
      <c r="Y459" s="26"/>
      <c r="Z459" s="26"/>
      <c r="AA459" s="26"/>
      <c r="AB459" s="26"/>
      <c r="AC459" s="26"/>
      <c r="AD459" s="26"/>
      <c r="AE459" s="26"/>
      <c r="AF459" s="26">
        <f>5</f>
        <v>5</v>
      </c>
      <c r="AG459" s="26"/>
      <c r="AH459" s="26"/>
      <c r="AI459" s="26"/>
      <c r="AJ459" s="26"/>
      <c r="AK459" s="26"/>
      <c r="AL459" s="26"/>
      <c r="AM459" s="26"/>
      <c r="AN459" s="26"/>
      <c r="AO459" s="26"/>
      <c r="AP459" s="26">
        <f>12</f>
        <v>12</v>
      </c>
      <c r="AQ459" s="26"/>
      <c r="AR459" s="26"/>
      <c r="AS459" s="26"/>
      <c r="AT459" s="26"/>
      <c r="AU459" s="26"/>
      <c r="AV459" s="26"/>
      <c r="AW459" s="26"/>
      <c r="AX459" s="26"/>
      <c r="AY459" s="26"/>
      <c r="AZ459" s="32">
        <f>13</f>
        <v>13</v>
      </c>
      <c r="BA459" s="5"/>
    </row>
    <row r="460" spans="1:53" ht="13" customHeight="1">
      <c r="A460" s="39" t="s">
        <v>34</v>
      </c>
      <c r="B460" s="25" t="s">
        <v>384</v>
      </c>
      <c r="C460" s="73"/>
      <c r="D460" s="39" t="s">
        <v>409</v>
      </c>
      <c r="E460" s="24" t="s">
        <v>386</v>
      </c>
      <c r="F460" s="25" t="s">
        <v>258</v>
      </c>
      <c r="G460" s="25" t="s">
        <v>387</v>
      </c>
      <c r="H460" s="96"/>
      <c r="I460" s="208" t="s">
        <v>416</v>
      </c>
      <c r="J460" s="199" t="s">
        <v>141</v>
      </c>
      <c r="K460" s="134"/>
      <c r="L460" s="31"/>
      <c r="M460" s="26">
        <f>0</f>
        <v>0</v>
      </c>
      <c r="N460" s="26"/>
      <c r="O460" s="26"/>
      <c r="P460" s="26"/>
      <c r="Q460" s="26"/>
      <c r="R460" s="26"/>
      <c r="S460" s="26"/>
      <c r="T460" s="26"/>
      <c r="U460" s="26"/>
      <c r="V460" s="26">
        <f>0</f>
        <v>0</v>
      </c>
      <c r="W460" s="26"/>
      <c r="X460" s="26"/>
      <c r="Y460" s="26"/>
      <c r="Z460" s="26"/>
      <c r="AA460" s="26"/>
      <c r="AB460" s="26"/>
      <c r="AC460" s="26"/>
      <c r="AD460" s="26"/>
      <c r="AE460" s="26"/>
      <c r="AF460" s="26">
        <f>5</f>
        <v>5</v>
      </c>
      <c r="AG460" s="26"/>
      <c r="AH460" s="26"/>
      <c r="AI460" s="26"/>
      <c r="AJ460" s="26"/>
      <c r="AK460" s="26"/>
      <c r="AL460" s="26"/>
      <c r="AM460" s="26"/>
      <c r="AN460" s="26"/>
      <c r="AO460" s="26"/>
      <c r="AP460" s="26">
        <f>11</f>
        <v>11</v>
      </c>
      <c r="AQ460" s="26"/>
      <c r="AR460" s="26"/>
      <c r="AS460" s="26"/>
      <c r="AT460" s="26"/>
      <c r="AU460" s="26"/>
      <c r="AV460" s="26"/>
      <c r="AW460" s="26"/>
      <c r="AX460" s="26"/>
      <c r="AY460" s="26"/>
      <c r="AZ460" s="32">
        <f>13</f>
        <v>13</v>
      </c>
      <c r="BA460" s="5"/>
    </row>
    <row r="461" spans="1:53" ht="13" customHeight="1">
      <c r="A461" s="39" t="s">
        <v>34</v>
      </c>
      <c r="B461" s="25" t="s">
        <v>384</v>
      </c>
      <c r="C461" s="73"/>
      <c r="D461" s="39" t="s">
        <v>409</v>
      </c>
      <c r="E461" s="24" t="s">
        <v>386</v>
      </c>
      <c r="F461" s="25" t="s">
        <v>258</v>
      </c>
      <c r="G461" s="25" t="s">
        <v>387</v>
      </c>
      <c r="H461" s="96"/>
      <c r="I461" s="198" t="s">
        <v>417</v>
      </c>
      <c r="J461" s="199" t="s">
        <v>141</v>
      </c>
      <c r="K461" s="134"/>
      <c r="L461" s="31"/>
      <c r="M461" s="26">
        <f>3.7</f>
        <v>3.7</v>
      </c>
      <c r="N461" s="26"/>
      <c r="O461" s="26"/>
      <c r="P461" s="26"/>
      <c r="Q461" s="26"/>
      <c r="R461" s="26"/>
      <c r="S461" s="26"/>
      <c r="T461" s="26"/>
      <c r="U461" s="26"/>
      <c r="V461" s="26">
        <f>3.7</f>
        <v>3.7</v>
      </c>
      <c r="W461" s="26"/>
      <c r="X461" s="26"/>
      <c r="Y461" s="26"/>
      <c r="Z461" s="26"/>
      <c r="AA461" s="26"/>
      <c r="AB461" s="26"/>
      <c r="AC461" s="26"/>
      <c r="AD461" s="26"/>
      <c r="AE461" s="26"/>
      <c r="AF461" s="26">
        <f>3.7</f>
        <v>3.7</v>
      </c>
      <c r="AG461" s="26"/>
      <c r="AH461" s="26"/>
      <c r="AI461" s="26"/>
      <c r="AJ461" s="26"/>
      <c r="AK461" s="26"/>
      <c r="AL461" s="26"/>
      <c r="AM461" s="26"/>
      <c r="AN461" s="26"/>
      <c r="AO461" s="26"/>
      <c r="AP461" s="26">
        <f>4.3</f>
        <v>4.3</v>
      </c>
      <c r="AQ461" s="26"/>
      <c r="AR461" s="26"/>
      <c r="AS461" s="26"/>
      <c r="AT461" s="26"/>
      <c r="AU461" s="26"/>
      <c r="AV461" s="26"/>
      <c r="AW461" s="26"/>
      <c r="AX461" s="26"/>
      <c r="AY461" s="26"/>
      <c r="AZ461" s="32">
        <f>5</f>
        <v>5</v>
      </c>
      <c r="BA461" s="5"/>
    </row>
    <row r="462" spans="1:53" ht="13" customHeight="1">
      <c r="A462" s="39" t="s">
        <v>34</v>
      </c>
      <c r="B462" s="25" t="s">
        <v>384</v>
      </c>
      <c r="C462" s="73"/>
      <c r="D462" s="39" t="s">
        <v>409</v>
      </c>
      <c r="E462" s="24" t="s">
        <v>386</v>
      </c>
      <c r="F462" s="25" t="s">
        <v>258</v>
      </c>
      <c r="G462" s="25" t="s">
        <v>387</v>
      </c>
      <c r="H462" s="96"/>
      <c r="I462" s="208" t="s">
        <v>418</v>
      </c>
      <c r="J462" s="199" t="s">
        <v>98</v>
      </c>
      <c r="K462" s="134"/>
      <c r="L462" s="31"/>
      <c r="M462" s="43">
        <f>0</f>
        <v>0</v>
      </c>
      <c r="N462" s="26"/>
      <c r="O462" s="26"/>
      <c r="P462" s="26"/>
      <c r="Q462" s="26"/>
      <c r="R462" s="26"/>
      <c r="S462" s="26"/>
      <c r="T462" s="26"/>
      <c r="U462" s="26"/>
      <c r="V462" s="63">
        <v>0.38</v>
      </c>
      <c r="W462" s="26"/>
      <c r="X462" s="26"/>
      <c r="Y462" s="26"/>
      <c r="Z462" s="26"/>
      <c r="AA462" s="26"/>
      <c r="AB462" s="26"/>
      <c r="AC462" s="26"/>
      <c r="AD462" s="26"/>
      <c r="AE462" s="26"/>
      <c r="AF462" s="63">
        <f>0.58</f>
        <v>0.57999999999999996</v>
      </c>
      <c r="AG462" s="26"/>
      <c r="AH462" s="26"/>
      <c r="AI462" s="26"/>
      <c r="AJ462" s="26"/>
      <c r="AK462" s="26"/>
      <c r="AL462" s="26"/>
      <c r="AM462" s="26"/>
      <c r="AN462" s="26"/>
      <c r="AO462" s="26"/>
      <c r="AP462" s="63">
        <f>0.71</f>
        <v>0.71</v>
      </c>
      <c r="AQ462" s="26"/>
      <c r="AR462" s="26"/>
      <c r="AS462" s="26"/>
      <c r="AT462" s="26"/>
      <c r="AU462" s="26"/>
      <c r="AV462" s="26"/>
      <c r="AW462" s="26"/>
      <c r="AX462" s="26"/>
      <c r="AY462" s="26"/>
      <c r="AZ462" s="104">
        <f>0.64</f>
        <v>0.64</v>
      </c>
      <c r="BA462" s="5"/>
    </row>
    <row r="463" spans="1:53" ht="13" customHeight="1">
      <c r="A463" s="39" t="s">
        <v>34</v>
      </c>
      <c r="B463" s="25" t="s">
        <v>384</v>
      </c>
      <c r="C463" s="73"/>
      <c r="D463" s="39" t="s">
        <v>409</v>
      </c>
      <c r="E463" s="24" t="s">
        <v>386</v>
      </c>
      <c r="F463" s="25" t="s">
        <v>258</v>
      </c>
      <c r="G463" s="25" t="s">
        <v>387</v>
      </c>
      <c r="H463" s="96"/>
      <c r="I463" s="208" t="s">
        <v>419</v>
      </c>
      <c r="J463" s="199" t="s">
        <v>98</v>
      </c>
      <c r="K463" s="134"/>
      <c r="L463" s="31"/>
      <c r="M463" s="43">
        <f>0.001</f>
        <v>1E-3</v>
      </c>
      <c r="N463" s="26"/>
      <c r="O463" s="26"/>
      <c r="P463" s="26"/>
      <c r="Q463" s="26"/>
      <c r="R463" s="26"/>
      <c r="S463" s="26"/>
      <c r="T463" s="26"/>
      <c r="U463" s="26"/>
      <c r="V463" s="43">
        <f>0.06</f>
        <v>0.06</v>
      </c>
      <c r="W463" s="26"/>
      <c r="X463" s="26"/>
      <c r="Y463" s="26"/>
      <c r="Z463" s="26"/>
      <c r="AA463" s="26"/>
      <c r="AB463" s="26"/>
      <c r="AC463" s="26"/>
      <c r="AD463" s="26"/>
      <c r="AE463" s="26"/>
      <c r="AF463" s="63">
        <f>0.13</f>
        <v>0.13</v>
      </c>
      <c r="AG463" s="26"/>
      <c r="AH463" s="26"/>
      <c r="AI463" s="26"/>
      <c r="AJ463" s="26"/>
      <c r="AK463" s="26"/>
      <c r="AL463" s="26"/>
      <c r="AM463" s="26"/>
      <c r="AN463" s="26"/>
      <c r="AO463" s="26"/>
      <c r="AP463" s="63">
        <f>0.26</f>
        <v>0.26</v>
      </c>
      <c r="AQ463" s="26"/>
      <c r="AR463" s="26"/>
      <c r="AS463" s="26"/>
      <c r="AT463" s="26"/>
      <c r="AU463" s="26"/>
      <c r="AV463" s="26"/>
      <c r="AW463" s="26"/>
      <c r="AX463" s="26"/>
      <c r="AY463" s="26"/>
      <c r="AZ463" s="104">
        <f>0.36</f>
        <v>0.36</v>
      </c>
      <c r="BA463" s="5"/>
    </row>
    <row r="464" spans="1:53" ht="13" customHeight="1">
      <c r="A464" s="39" t="s">
        <v>34</v>
      </c>
      <c r="B464" s="25" t="s">
        <v>384</v>
      </c>
      <c r="C464" s="73"/>
      <c r="D464" s="39" t="s">
        <v>409</v>
      </c>
      <c r="E464" s="24" t="s">
        <v>386</v>
      </c>
      <c r="F464" s="25" t="s">
        <v>258</v>
      </c>
      <c r="G464" s="25" t="s">
        <v>387</v>
      </c>
      <c r="H464" s="96"/>
      <c r="I464" s="200" t="s">
        <v>128</v>
      </c>
      <c r="J464" s="199" t="s">
        <v>141</v>
      </c>
      <c r="K464" s="134"/>
      <c r="L464" s="31"/>
      <c r="M464" s="26">
        <f>61</f>
        <v>61</v>
      </c>
      <c r="N464" s="26"/>
      <c r="O464" s="26"/>
      <c r="P464" s="26"/>
      <c r="Q464" s="26"/>
      <c r="R464" s="26"/>
      <c r="S464" s="26"/>
      <c r="T464" s="26"/>
      <c r="U464" s="26"/>
      <c r="V464" s="26">
        <f>75</f>
        <v>75</v>
      </c>
      <c r="W464" s="26"/>
      <c r="X464" s="26"/>
      <c r="Y464" s="26"/>
      <c r="Z464" s="26"/>
      <c r="AA464" s="26"/>
      <c r="AB464" s="26"/>
      <c r="AC464" s="26"/>
      <c r="AD464" s="26"/>
      <c r="AE464" s="26"/>
      <c r="AF464" s="26">
        <f>81</f>
        <v>81</v>
      </c>
      <c r="AG464" s="26"/>
      <c r="AH464" s="26"/>
      <c r="AI464" s="26"/>
      <c r="AJ464" s="26"/>
      <c r="AK464" s="26"/>
      <c r="AL464" s="26"/>
      <c r="AM464" s="26"/>
      <c r="AN464" s="26"/>
      <c r="AO464" s="26"/>
      <c r="AP464" s="26">
        <f>83</f>
        <v>83</v>
      </c>
      <c r="AQ464" s="26"/>
      <c r="AR464" s="26"/>
      <c r="AS464" s="26"/>
      <c r="AT464" s="26"/>
      <c r="AU464" s="26"/>
      <c r="AV464" s="26"/>
      <c r="AW464" s="26"/>
      <c r="AX464" s="26"/>
      <c r="AY464" s="26"/>
      <c r="AZ464" s="32">
        <f>83</f>
        <v>83</v>
      </c>
      <c r="BA464" s="5"/>
    </row>
    <row r="465" spans="1:53" ht="13" customHeight="1">
      <c r="A465" s="39" t="s">
        <v>34</v>
      </c>
      <c r="B465" s="25" t="s">
        <v>384</v>
      </c>
      <c r="C465" s="73"/>
      <c r="D465" s="39" t="s">
        <v>409</v>
      </c>
      <c r="E465" s="24" t="s">
        <v>386</v>
      </c>
      <c r="F465" s="25" t="s">
        <v>258</v>
      </c>
      <c r="G465" s="25" t="s">
        <v>387</v>
      </c>
      <c r="H465" s="96"/>
      <c r="I465" s="208" t="s">
        <v>381</v>
      </c>
      <c r="J465" s="199" t="s">
        <v>98</v>
      </c>
      <c r="K465" s="134"/>
      <c r="L465" s="31"/>
      <c r="M465" s="43">
        <f>0.58</f>
        <v>0.57999999999999996</v>
      </c>
      <c r="N465" s="26"/>
      <c r="O465" s="26"/>
      <c r="P465" s="26"/>
      <c r="Q465" s="26"/>
      <c r="R465" s="26"/>
      <c r="S465" s="26"/>
      <c r="T465" s="26"/>
      <c r="U465" s="26"/>
      <c r="V465" s="43">
        <f>0.7</f>
        <v>0.7</v>
      </c>
      <c r="W465" s="26"/>
      <c r="X465" s="26"/>
      <c r="Y465" s="26"/>
      <c r="Z465" s="26"/>
      <c r="AA465" s="26"/>
      <c r="AB465" s="26"/>
      <c r="AC465" s="26"/>
      <c r="AD465" s="26"/>
      <c r="AE465" s="26"/>
      <c r="AF465" s="43">
        <f>0.84</f>
        <v>0.84</v>
      </c>
      <c r="AG465" s="26"/>
      <c r="AH465" s="26"/>
      <c r="AI465" s="26"/>
      <c r="AJ465" s="26"/>
      <c r="AK465" s="26"/>
      <c r="AL465" s="26"/>
      <c r="AM465" s="26"/>
      <c r="AN465" s="26"/>
      <c r="AO465" s="26"/>
      <c r="AP465" s="43">
        <f>0.98</f>
        <v>0.98</v>
      </c>
      <c r="AQ465" s="26"/>
      <c r="AR465" s="26"/>
      <c r="AS465" s="26"/>
      <c r="AT465" s="26"/>
      <c r="AU465" s="26"/>
      <c r="AV465" s="26"/>
      <c r="AW465" s="26"/>
      <c r="AX465" s="26"/>
      <c r="AY465" s="26"/>
      <c r="AZ465" s="104">
        <f>1</f>
        <v>1</v>
      </c>
      <c r="BA465" s="5"/>
    </row>
    <row r="466" spans="1:53" ht="13" customHeight="1">
      <c r="A466" s="39" t="s">
        <v>34</v>
      </c>
      <c r="B466" s="25" t="s">
        <v>384</v>
      </c>
      <c r="C466" s="73"/>
      <c r="D466" s="39" t="s">
        <v>409</v>
      </c>
      <c r="E466" s="24" t="s">
        <v>386</v>
      </c>
      <c r="F466" s="25" t="s">
        <v>258</v>
      </c>
      <c r="G466" s="25" t="s">
        <v>387</v>
      </c>
      <c r="H466" s="96"/>
      <c r="I466" s="206" t="s">
        <v>113</v>
      </c>
      <c r="J466" s="199" t="s">
        <v>141</v>
      </c>
      <c r="K466" s="134"/>
      <c r="L466" s="31"/>
      <c r="M466" s="26">
        <f>17</f>
        <v>17</v>
      </c>
      <c r="N466" s="26"/>
      <c r="O466" s="26"/>
      <c r="P466" s="26"/>
      <c r="Q466" s="26"/>
      <c r="R466" s="26"/>
      <c r="S466" s="26"/>
      <c r="T466" s="26"/>
      <c r="U466" s="26"/>
      <c r="V466" s="26">
        <f>14</f>
        <v>14</v>
      </c>
      <c r="W466" s="26"/>
      <c r="X466" s="26"/>
      <c r="Y466" s="26"/>
      <c r="Z466" s="26"/>
      <c r="AA466" s="26"/>
      <c r="AB466" s="26"/>
      <c r="AC466" s="26"/>
      <c r="AD466" s="26"/>
      <c r="AE466" s="26"/>
      <c r="AF466" s="26">
        <f>18</f>
        <v>18</v>
      </c>
      <c r="AG466" s="26"/>
      <c r="AH466" s="26"/>
      <c r="AI466" s="26"/>
      <c r="AJ466" s="26"/>
      <c r="AK466" s="26"/>
      <c r="AL466" s="26"/>
      <c r="AM466" s="26"/>
      <c r="AN466" s="26"/>
      <c r="AO466" s="26"/>
      <c r="AP466" s="26">
        <f>22</f>
        <v>22</v>
      </c>
      <c r="AQ466" s="26"/>
      <c r="AR466" s="26"/>
      <c r="AS466" s="26"/>
      <c r="AT466" s="26"/>
      <c r="AU466" s="26"/>
      <c r="AV466" s="26"/>
      <c r="AW466" s="26"/>
      <c r="AX466" s="26"/>
      <c r="AY466" s="26"/>
      <c r="AZ466" s="32">
        <f>26</f>
        <v>26</v>
      </c>
      <c r="BA466" s="5"/>
    </row>
    <row r="467" spans="1:53" ht="13" customHeight="1">
      <c r="A467" s="39" t="s">
        <v>34</v>
      </c>
      <c r="B467" s="25" t="s">
        <v>384</v>
      </c>
      <c r="C467" s="73"/>
      <c r="D467" s="39" t="s">
        <v>409</v>
      </c>
      <c r="E467" s="24" t="s">
        <v>386</v>
      </c>
      <c r="F467" s="25" t="s">
        <v>258</v>
      </c>
      <c r="G467" s="25" t="s">
        <v>387</v>
      </c>
      <c r="H467" s="96"/>
      <c r="I467" s="208" t="s">
        <v>397</v>
      </c>
      <c r="J467" s="199" t="s">
        <v>98</v>
      </c>
      <c r="K467" s="134"/>
      <c r="L467" s="31"/>
      <c r="M467" s="63">
        <f>0</f>
        <v>0</v>
      </c>
      <c r="N467" s="26"/>
      <c r="O467" s="26"/>
      <c r="P467" s="26"/>
      <c r="Q467" s="26"/>
      <c r="R467" s="26"/>
      <c r="S467" s="26"/>
      <c r="T467" s="26"/>
      <c r="U467" s="26"/>
      <c r="V467" s="63">
        <f>0</f>
        <v>0</v>
      </c>
      <c r="W467" s="26"/>
      <c r="X467" s="26"/>
      <c r="Y467" s="26"/>
      <c r="Z467" s="26"/>
      <c r="AA467" s="26"/>
      <c r="AB467" s="26"/>
      <c r="AC467" s="26"/>
      <c r="AD467" s="26"/>
      <c r="AE467" s="26"/>
      <c r="AF467" s="63">
        <f>0</f>
        <v>0</v>
      </c>
      <c r="AG467" s="26"/>
      <c r="AH467" s="26"/>
      <c r="AI467" s="26"/>
      <c r="AJ467" s="26"/>
      <c r="AK467" s="26"/>
      <c r="AL467" s="26"/>
      <c r="AM467" s="26"/>
      <c r="AN467" s="26"/>
      <c r="AO467" s="26"/>
      <c r="AP467" s="63">
        <f>0.02</f>
        <v>0.02</v>
      </c>
      <c r="AQ467" s="26"/>
      <c r="AR467" s="26"/>
      <c r="AS467" s="26"/>
      <c r="AT467" s="26"/>
      <c r="AU467" s="26"/>
      <c r="AV467" s="26"/>
      <c r="AW467" s="26"/>
      <c r="AX467" s="26"/>
      <c r="AY467" s="26"/>
      <c r="AZ467" s="104">
        <f>0.04</f>
        <v>0.04</v>
      </c>
      <c r="BA467" s="5"/>
    </row>
    <row r="468" spans="1:53" ht="13" customHeight="1">
      <c r="A468" s="39" t="s">
        <v>34</v>
      </c>
      <c r="B468" s="25" t="s">
        <v>384</v>
      </c>
      <c r="C468" s="73"/>
      <c r="D468" s="39" t="s">
        <v>409</v>
      </c>
      <c r="E468" s="24" t="s">
        <v>386</v>
      </c>
      <c r="F468" s="25" t="s">
        <v>258</v>
      </c>
      <c r="G468" s="25" t="s">
        <v>387</v>
      </c>
      <c r="H468" s="96"/>
      <c r="I468" s="221" t="s">
        <v>396</v>
      </c>
      <c r="J468" s="222" t="s">
        <v>98</v>
      </c>
      <c r="K468" s="168"/>
      <c r="L468" s="179"/>
      <c r="M468" s="223">
        <f>0</f>
        <v>0</v>
      </c>
      <c r="N468" s="171"/>
      <c r="O468" s="171"/>
      <c r="P468" s="171"/>
      <c r="Q468" s="171"/>
      <c r="R468" s="171"/>
      <c r="S468" s="171"/>
      <c r="T468" s="171"/>
      <c r="U468" s="171"/>
      <c r="V468" s="223">
        <f>0</f>
        <v>0</v>
      </c>
      <c r="W468" s="171"/>
      <c r="X468" s="171"/>
      <c r="Y468" s="171"/>
      <c r="Z468" s="171"/>
      <c r="AA468" s="171"/>
      <c r="AB468" s="171"/>
      <c r="AC468" s="171"/>
      <c r="AD468" s="171"/>
      <c r="AE468" s="171"/>
      <c r="AF468" s="223">
        <f>0</f>
        <v>0</v>
      </c>
      <c r="AG468" s="171"/>
      <c r="AH468" s="171"/>
      <c r="AI468" s="171"/>
      <c r="AJ468" s="171"/>
      <c r="AK468" s="171"/>
      <c r="AL468" s="171"/>
      <c r="AM468" s="171"/>
      <c r="AN468" s="171"/>
      <c r="AO468" s="171"/>
      <c r="AP468" s="223">
        <f>0.22</f>
        <v>0.22</v>
      </c>
      <c r="AQ468" s="171"/>
      <c r="AR468" s="171"/>
      <c r="AS468" s="171"/>
      <c r="AT468" s="171"/>
      <c r="AU468" s="171"/>
      <c r="AV468" s="171"/>
      <c r="AW468" s="171"/>
      <c r="AX468" s="171"/>
      <c r="AY468" s="171"/>
      <c r="AZ468" s="224">
        <f>0.43</f>
        <v>0.43</v>
      </c>
      <c r="BA468" s="5"/>
    </row>
    <row r="469" spans="1:53" ht="13" customHeight="1">
      <c r="A469" s="183"/>
      <c r="B469" s="183"/>
      <c r="C469" s="225"/>
      <c r="D469" s="183"/>
      <c r="E469" s="183"/>
      <c r="F469" s="183"/>
      <c r="G469" s="147"/>
      <c r="H469" s="147"/>
      <c r="I469" s="147"/>
      <c r="J469" s="147"/>
      <c r="K469" s="147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</row>
    <row r="470" spans="1:53" ht="13" customHeight="1">
      <c r="A470" s="183"/>
      <c r="B470" s="183"/>
      <c r="C470" s="225"/>
      <c r="D470" s="183"/>
      <c r="E470" s="183"/>
      <c r="F470" s="183"/>
      <c r="G470" s="147"/>
      <c r="H470" s="147"/>
      <c r="I470" s="147"/>
      <c r="J470" s="147"/>
      <c r="K470" s="147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</row>
    <row r="471" spans="1:53" ht="13" customHeight="1">
      <c r="A471" s="183"/>
      <c r="B471" s="183"/>
      <c r="C471" s="225"/>
      <c r="D471" s="183"/>
      <c r="E471" s="183"/>
      <c r="F471" s="183"/>
      <c r="G471" s="147"/>
      <c r="H471" s="147"/>
      <c r="I471" s="147"/>
      <c r="J471" s="147"/>
      <c r="K471" s="147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</row>
    <row r="472" spans="1:53" ht="13" customHeight="1">
      <c r="A472" s="183"/>
      <c r="B472" s="183"/>
      <c r="C472" s="225"/>
      <c r="D472" s="183"/>
      <c r="E472" s="183"/>
      <c r="F472" s="183"/>
      <c r="G472" s="147"/>
      <c r="H472" s="147"/>
      <c r="I472" s="147"/>
      <c r="J472" s="147"/>
      <c r="K472" s="147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</row>
    <row r="473" spans="1:53" ht="13" customHeight="1">
      <c r="A473" s="183"/>
      <c r="B473" s="183"/>
      <c r="C473" s="225"/>
      <c r="D473" s="183"/>
      <c r="E473" s="183"/>
      <c r="F473" s="183"/>
      <c r="G473" s="147"/>
      <c r="H473" s="147"/>
      <c r="I473" s="147"/>
      <c r="J473" s="147"/>
      <c r="K473" s="147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</row>
    <row r="474" spans="1:53" ht="13" customHeight="1">
      <c r="A474" s="183"/>
      <c r="B474" s="183"/>
      <c r="C474" s="225"/>
      <c r="D474" s="183"/>
      <c r="E474" s="183"/>
      <c r="F474" s="183"/>
      <c r="G474" s="147"/>
      <c r="H474" s="147"/>
      <c r="I474" s="147"/>
      <c r="J474" s="147"/>
      <c r="K474" s="147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</row>
    <row r="475" spans="1:53" ht="13" customHeight="1">
      <c r="A475" s="183"/>
      <c r="B475" s="183"/>
      <c r="C475" s="225"/>
      <c r="D475" s="183"/>
      <c r="E475" s="183"/>
      <c r="F475" s="183"/>
      <c r="G475" s="147"/>
      <c r="H475" s="147"/>
      <c r="I475" s="147"/>
      <c r="J475" s="147"/>
      <c r="K475" s="147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</row>
    <row r="476" spans="1:53" ht="13" customHeight="1">
      <c r="A476" s="183"/>
      <c r="B476" s="183"/>
      <c r="C476" s="183"/>
      <c r="D476" s="183"/>
      <c r="E476" s="183"/>
      <c r="F476" s="183"/>
      <c r="G476" s="147"/>
      <c r="H476" s="147"/>
      <c r="I476" s="147"/>
      <c r="J476" s="147"/>
      <c r="K476" s="147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</row>
    <row r="477" spans="1:53" ht="13" customHeight="1">
      <c r="A477" s="183"/>
      <c r="B477" s="183"/>
      <c r="C477" s="183"/>
      <c r="D477" s="183"/>
      <c r="E477" s="183"/>
      <c r="F477" s="183"/>
      <c r="G477" s="147"/>
      <c r="H477" s="147"/>
      <c r="I477" s="147"/>
      <c r="J477" s="147"/>
      <c r="K477" s="147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</row>
    <row r="478" spans="1:53" ht="13" customHeight="1">
      <c r="A478" s="183"/>
      <c r="B478" s="183"/>
      <c r="C478" s="183"/>
      <c r="D478" s="183"/>
      <c r="E478" s="183"/>
      <c r="F478" s="183"/>
      <c r="G478" s="147"/>
      <c r="H478" s="147"/>
      <c r="I478" s="147"/>
      <c r="J478" s="147"/>
      <c r="K478" s="147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</row>
    <row r="479" spans="1:53" ht="13" customHeight="1">
      <c r="A479" s="183"/>
      <c r="B479" s="183"/>
      <c r="C479" s="183"/>
      <c r="D479" s="183"/>
      <c r="E479" s="183"/>
      <c r="F479" s="183"/>
      <c r="G479" s="147"/>
      <c r="H479" s="147"/>
      <c r="I479" s="147"/>
      <c r="J479" s="147"/>
      <c r="K479" s="147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</row>
    <row r="480" spans="1:53" ht="13" customHeight="1">
      <c r="A480" s="183"/>
      <c r="B480" s="183"/>
      <c r="C480" s="183"/>
      <c r="D480" s="183"/>
      <c r="E480" s="183"/>
      <c r="F480" s="183"/>
      <c r="G480" s="147"/>
      <c r="H480" s="147"/>
      <c r="I480" s="147"/>
      <c r="J480" s="147"/>
      <c r="K480" s="147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</row>
    <row r="481" spans="1:53" ht="13" customHeight="1">
      <c r="A481" s="183"/>
      <c r="B481" s="183"/>
      <c r="C481" s="183"/>
      <c r="D481" s="183"/>
      <c r="E481" s="183"/>
      <c r="F481" s="183"/>
      <c r="G481" s="147"/>
      <c r="H481" s="147"/>
      <c r="I481" s="147"/>
      <c r="J481" s="147"/>
      <c r="K481" s="147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</row>
    <row r="482" spans="1:53" ht="13" customHeight="1">
      <c r="A482" s="183"/>
      <c r="B482" s="183"/>
      <c r="C482" s="183"/>
      <c r="D482" s="183"/>
      <c r="E482" s="183"/>
      <c r="F482" s="183"/>
      <c r="G482" s="147"/>
      <c r="H482" s="147"/>
      <c r="I482" s="147"/>
      <c r="J482" s="147"/>
      <c r="K482" s="147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</row>
    <row r="483" spans="1:53" ht="13" customHeight="1">
      <c r="A483" s="183"/>
      <c r="B483" s="183"/>
      <c r="C483" s="183"/>
      <c r="D483" s="183"/>
      <c r="E483" s="183"/>
      <c r="F483" s="183"/>
      <c r="G483" s="147"/>
      <c r="H483" s="147"/>
      <c r="I483" s="147"/>
      <c r="J483" s="147"/>
      <c r="K483" s="147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</row>
    <row r="484" spans="1:53" ht="13" customHeight="1">
      <c r="A484" s="183"/>
      <c r="B484" s="183"/>
      <c r="C484" s="183"/>
      <c r="D484" s="183"/>
      <c r="E484" s="183"/>
      <c r="F484" s="183"/>
      <c r="G484" s="147"/>
      <c r="H484" s="147"/>
      <c r="I484" s="147"/>
      <c r="J484" s="147"/>
      <c r="K484" s="147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</row>
    <row r="485" spans="1:53" ht="13" customHeight="1">
      <c r="A485" s="183"/>
      <c r="B485" s="183"/>
      <c r="C485" s="183"/>
      <c r="D485" s="183"/>
      <c r="E485" s="183"/>
      <c r="F485" s="183"/>
      <c r="G485" s="147"/>
      <c r="H485" s="147"/>
      <c r="I485" s="147"/>
      <c r="J485" s="147"/>
      <c r="K485" s="147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</row>
    <row r="486" spans="1:53" ht="13" customHeight="1">
      <c r="A486" s="183"/>
      <c r="B486" s="183"/>
      <c r="C486" s="183"/>
      <c r="D486" s="183"/>
      <c r="E486" s="183"/>
      <c r="F486" s="183"/>
      <c r="G486" s="147"/>
      <c r="H486" s="147"/>
      <c r="I486" s="147"/>
      <c r="J486" s="147"/>
      <c r="K486" s="147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</row>
    <row r="487" spans="1:53" ht="13" customHeight="1">
      <c r="A487" s="183"/>
      <c r="B487" s="183"/>
      <c r="C487" s="183"/>
      <c r="D487" s="183"/>
      <c r="E487" s="183"/>
      <c r="F487" s="183"/>
      <c r="G487" s="147"/>
      <c r="H487" s="147"/>
      <c r="I487" s="147"/>
      <c r="J487" s="147"/>
      <c r="K487" s="147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</row>
    <row r="488" spans="1:53" ht="13" customHeight="1">
      <c r="A488" s="183"/>
      <c r="B488" s="183"/>
      <c r="C488" s="183"/>
      <c r="D488" s="183"/>
      <c r="E488" s="183"/>
      <c r="F488" s="183"/>
      <c r="G488" s="147"/>
      <c r="H488" s="147"/>
      <c r="I488" s="147"/>
      <c r="J488" s="147"/>
      <c r="K488" s="147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</row>
    <row r="489" spans="1:53" ht="13" customHeight="1">
      <c r="A489" s="183"/>
      <c r="B489" s="183"/>
      <c r="C489" s="183"/>
      <c r="D489" s="183"/>
      <c r="E489" s="183"/>
      <c r="F489" s="183"/>
      <c r="G489" s="147"/>
      <c r="H489" s="147"/>
      <c r="I489" s="147"/>
      <c r="J489" s="147"/>
      <c r="K489" s="147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</row>
    <row r="490" spans="1:53" ht="13" customHeight="1">
      <c r="A490" s="183"/>
      <c r="B490" s="183"/>
      <c r="C490" s="183"/>
      <c r="D490" s="183"/>
      <c r="E490" s="183"/>
      <c r="F490" s="183"/>
      <c r="G490" s="147"/>
      <c r="H490" s="147"/>
      <c r="I490" s="147"/>
      <c r="J490" s="147"/>
      <c r="K490" s="147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</row>
    <row r="491" spans="1:53" ht="13" customHeight="1">
      <c r="A491" s="183"/>
      <c r="B491" s="183"/>
      <c r="C491" s="183"/>
      <c r="D491" s="183"/>
      <c r="E491" s="183"/>
      <c r="F491" s="183"/>
      <c r="G491" s="147"/>
      <c r="H491" s="147"/>
      <c r="I491" s="147"/>
      <c r="J491" s="147"/>
      <c r="K491" s="147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</row>
    <row r="492" spans="1:53" ht="13" customHeight="1">
      <c r="A492" s="183"/>
      <c r="B492" s="183"/>
      <c r="C492" s="183"/>
      <c r="D492" s="183"/>
      <c r="E492" s="183"/>
      <c r="F492" s="183"/>
      <c r="G492" s="147"/>
      <c r="H492" s="147"/>
      <c r="I492" s="147"/>
      <c r="J492" s="147"/>
      <c r="K492" s="147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</row>
    <row r="493" spans="1:53" ht="13" customHeight="1">
      <c r="A493" s="183"/>
      <c r="B493" s="183"/>
      <c r="C493" s="183"/>
      <c r="D493" s="183"/>
      <c r="E493" s="183"/>
      <c r="F493" s="183"/>
      <c r="G493" s="147"/>
      <c r="H493" s="147"/>
      <c r="I493" s="147"/>
      <c r="J493" s="147"/>
      <c r="K493" s="147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</row>
    <row r="494" spans="1:53" ht="13" customHeight="1">
      <c r="A494" s="183"/>
      <c r="B494" s="183"/>
      <c r="C494" s="183"/>
      <c r="D494" s="183"/>
      <c r="E494" s="183"/>
      <c r="F494" s="183"/>
      <c r="G494" s="147"/>
      <c r="H494" s="147"/>
      <c r="I494" s="147"/>
      <c r="J494" s="147"/>
      <c r="K494" s="147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</row>
    <row r="495" spans="1:53" ht="13" customHeight="1">
      <c r="A495" s="183"/>
      <c r="B495" s="183"/>
      <c r="C495" s="183"/>
      <c r="D495" s="183"/>
      <c r="E495" s="183"/>
      <c r="F495" s="183"/>
      <c r="G495" s="147"/>
      <c r="H495" s="147"/>
      <c r="I495" s="147"/>
      <c r="J495" s="147"/>
      <c r="K495" s="147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</row>
    <row r="496" spans="1:53" ht="13" customHeight="1">
      <c r="A496" s="183"/>
      <c r="B496" s="183"/>
      <c r="C496" s="183"/>
      <c r="D496" s="183"/>
      <c r="E496" s="183"/>
      <c r="F496" s="183"/>
      <c r="G496" s="147"/>
      <c r="H496" s="147"/>
      <c r="I496" s="147"/>
      <c r="J496" s="147"/>
      <c r="K496" s="147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</row>
    <row r="497" spans="1:53" ht="13" customHeight="1">
      <c r="A497" s="183"/>
      <c r="B497" s="183"/>
      <c r="C497" s="183"/>
      <c r="D497" s="183"/>
      <c r="E497" s="183"/>
      <c r="F497" s="183"/>
      <c r="G497" s="147"/>
      <c r="H497" s="147"/>
      <c r="I497" s="147"/>
      <c r="J497" s="147"/>
      <c r="K497" s="147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</row>
    <row r="498" spans="1:53" ht="13" customHeight="1">
      <c r="A498" s="183"/>
      <c r="B498" s="183"/>
      <c r="C498" s="183"/>
      <c r="D498" s="183"/>
      <c r="E498" s="183"/>
      <c r="F498" s="183"/>
      <c r="G498" s="147"/>
      <c r="H498" s="147"/>
      <c r="I498" s="147"/>
      <c r="J498" s="147"/>
      <c r="K498" s="147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</row>
    <row r="499" spans="1:53" ht="13" customHeight="1">
      <c r="A499" s="183"/>
      <c r="B499" s="183"/>
      <c r="C499" s="183"/>
      <c r="D499" s="183"/>
      <c r="E499" s="183"/>
      <c r="F499" s="183"/>
      <c r="G499" s="147"/>
      <c r="H499" s="147"/>
      <c r="I499" s="147"/>
      <c r="J499" s="147"/>
      <c r="K499" s="147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</row>
    <row r="500" spans="1:53" ht="13" customHeight="1">
      <c r="A500" s="183"/>
      <c r="B500" s="183"/>
      <c r="C500" s="183"/>
      <c r="D500" s="183"/>
      <c r="E500" s="183"/>
      <c r="F500" s="183"/>
      <c r="G500" s="147"/>
      <c r="H500" s="147"/>
      <c r="I500" s="147"/>
      <c r="J500" s="147"/>
      <c r="K500" s="147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</row>
    <row r="501" spans="1:53" ht="13" customHeight="1">
      <c r="A501" s="183"/>
      <c r="B501" s="183"/>
      <c r="C501" s="183"/>
      <c r="D501" s="183"/>
      <c r="E501" s="183"/>
      <c r="F501" s="183"/>
      <c r="G501" s="147"/>
      <c r="H501" s="147"/>
      <c r="I501" s="147"/>
      <c r="J501" s="147"/>
      <c r="K501" s="147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</row>
    <row r="502" spans="1:53" ht="13" customHeight="1">
      <c r="A502" s="183"/>
      <c r="B502" s="183"/>
      <c r="C502" s="183"/>
      <c r="D502" s="183"/>
      <c r="E502" s="183"/>
      <c r="F502" s="183"/>
      <c r="G502" s="147"/>
      <c r="H502" s="147"/>
      <c r="I502" s="147"/>
      <c r="J502" s="147"/>
      <c r="K502" s="147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</row>
    <row r="503" spans="1:53" ht="13" customHeight="1">
      <c r="A503" s="183"/>
      <c r="B503" s="183"/>
      <c r="C503" s="183"/>
      <c r="D503" s="183"/>
      <c r="E503" s="183"/>
      <c r="F503" s="183"/>
      <c r="G503" s="147"/>
      <c r="H503" s="147"/>
      <c r="I503" s="147"/>
      <c r="J503" s="147"/>
      <c r="K503" s="147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</row>
    <row r="504" spans="1:53" ht="13" customHeight="1">
      <c r="A504" s="183"/>
      <c r="B504" s="183"/>
      <c r="C504" s="183"/>
      <c r="D504" s="183"/>
      <c r="E504" s="183"/>
      <c r="F504" s="183"/>
      <c r="G504" s="147"/>
      <c r="H504" s="147"/>
      <c r="I504" s="147"/>
      <c r="J504" s="147"/>
      <c r="K504" s="147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</row>
    <row r="505" spans="1:53" ht="13" customHeight="1">
      <c r="A505" s="183"/>
      <c r="B505" s="183"/>
      <c r="C505" s="183"/>
      <c r="D505" s="183"/>
      <c r="E505" s="183"/>
      <c r="F505" s="183"/>
      <c r="G505" s="147"/>
      <c r="H505" s="147"/>
      <c r="I505" s="147"/>
      <c r="J505" s="147"/>
      <c r="K505" s="147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</row>
    <row r="506" spans="1:53" ht="13" customHeight="1">
      <c r="A506" s="183"/>
      <c r="B506" s="183"/>
      <c r="C506" s="183"/>
      <c r="D506" s="183"/>
      <c r="E506" s="183"/>
      <c r="F506" s="183"/>
      <c r="G506" s="147"/>
      <c r="H506" s="147"/>
      <c r="I506" s="147"/>
      <c r="J506" s="147"/>
      <c r="K506" s="147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</row>
    <row r="507" spans="1:53" ht="13" customHeight="1">
      <c r="A507" s="183"/>
      <c r="B507" s="183"/>
      <c r="C507" s="183"/>
      <c r="D507" s="183"/>
      <c r="E507" s="183"/>
      <c r="F507" s="183"/>
      <c r="G507" s="147"/>
      <c r="H507" s="147"/>
      <c r="I507" s="147"/>
      <c r="J507" s="147"/>
      <c r="K507" s="147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</row>
    <row r="508" spans="1:53" ht="13" customHeight="1">
      <c r="A508" s="183"/>
      <c r="B508" s="183"/>
      <c r="C508" s="183"/>
      <c r="D508" s="183"/>
      <c r="E508" s="183"/>
      <c r="F508" s="183"/>
      <c r="G508" s="147"/>
      <c r="H508" s="147"/>
      <c r="I508" s="147"/>
      <c r="J508" s="147"/>
      <c r="K508" s="147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</row>
    <row r="509" spans="1:53" ht="13" customHeight="1">
      <c r="A509" s="183"/>
      <c r="B509" s="183"/>
      <c r="C509" s="183"/>
      <c r="D509" s="183"/>
      <c r="E509" s="183"/>
      <c r="F509" s="183"/>
      <c r="G509" s="147"/>
      <c r="H509" s="147"/>
      <c r="I509" s="147"/>
      <c r="J509" s="147"/>
      <c r="K509" s="147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</row>
    <row r="510" spans="1:53" ht="13" customHeight="1">
      <c r="A510" s="183"/>
      <c r="B510" s="183"/>
      <c r="C510" s="183"/>
      <c r="D510" s="183"/>
      <c r="E510" s="183"/>
      <c r="F510" s="183"/>
      <c r="G510" s="147"/>
      <c r="H510" s="147"/>
      <c r="I510" s="147"/>
      <c r="J510" s="147"/>
      <c r="K510" s="147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</row>
    <row r="511" spans="1:53" ht="13" customHeight="1">
      <c r="A511" s="183"/>
      <c r="B511" s="183"/>
      <c r="C511" s="183"/>
      <c r="D511" s="183"/>
      <c r="E511" s="183"/>
      <c r="F511" s="183"/>
      <c r="G511" s="147"/>
      <c r="H511" s="147"/>
      <c r="I511" s="147"/>
      <c r="J511" s="147"/>
      <c r="K511" s="147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</row>
    <row r="512" spans="1:53" ht="13" customHeight="1">
      <c r="A512" s="183"/>
      <c r="B512" s="183"/>
      <c r="C512" s="183"/>
      <c r="D512" s="183"/>
      <c r="E512" s="183"/>
      <c r="F512" s="183"/>
      <c r="G512" s="147"/>
      <c r="H512" s="147"/>
      <c r="I512" s="147"/>
      <c r="J512" s="147"/>
      <c r="K512" s="147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</row>
    <row r="513" spans="1:53" ht="13" customHeight="1">
      <c r="A513" s="183"/>
      <c r="B513" s="183"/>
      <c r="C513" s="183"/>
      <c r="D513" s="183"/>
      <c r="E513" s="183"/>
      <c r="F513" s="183"/>
      <c r="G513" s="147"/>
      <c r="H513" s="147"/>
      <c r="I513" s="147"/>
      <c r="J513" s="147"/>
      <c r="K513" s="147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</row>
    <row r="514" spans="1:53" ht="13" customHeight="1">
      <c r="A514" s="183"/>
      <c r="B514" s="183"/>
      <c r="C514" s="183"/>
      <c r="D514" s="183"/>
      <c r="E514" s="183"/>
      <c r="F514" s="183"/>
      <c r="G514" s="147"/>
      <c r="H514" s="147"/>
      <c r="I514" s="147"/>
      <c r="J514" s="147"/>
      <c r="K514" s="147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</row>
    <row r="515" spans="1:53" ht="13" customHeight="1">
      <c r="A515" s="183"/>
      <c r="B515" s="183"/>
      <c r="C515" s="183"/>
      <c r="D515" s="183"/>
      <c r="E515" s="183"/>
      <c r="F515" s="183"/>
      <c r="G515" s="147"/>
      <c r="H515" s="147"/>
      <c r="I515" s="147"/>
      <c r="J515" s="147"/>
      <c r="K515" s="147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</row>
    <row r="516" spans="1:53" ht="13" customHeight="1">
      <c r="A516" s="183"/>
      <c r="B516" s="183"/>
      <c r="C516" s="183"/>
      <c r="D516" s="183"/>
      <c r="E516" s="183"/>
      <c r="F516" s="183"/>
      <c r="G516" s="147"/>
      <c r="H516" s="147"/>
      <c r="I516" s="147"/>
      <c r="J516" s="147"/>
      <c r="K516" s="147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</row>
    <row r="517" spans="1:53" ht="13" customHeight="1">
      <c r="A517" s="183"/>
      <c r="B517" s="183"/>
      <c r="C517" s="183"/>
      <c r="D517" s="183"/>
      <c r="E517" s="183"/>
      <c r="F517" s="183"/>
      <c r="G517" s="147"/>
      <c r="H517" s="147"/>
      <c r="I517" s="147"/>
      <c r="J517" s="147"/>
      <c r="K517" s="147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</row>
    <row r="518" spans="1:53" ht="13" customHeight="1">
      <c r="A518" s="183"/>
      <c r="B518" s="183"/>
      <c r="C518" s="183"/>
      <c r="D518" s="183"/>
      <c r="E518" s="183"/>
      <c r="F518" s="183"/>
      <c r="G518" s="147"/>
      <c r="H518" s="147"/>
      <c r="I518" s="147"/>
      <c r="J518" s="147"/>
      <c r="K518" s="147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</row>
    <row r="519" spans="1:53" ht="13" customHeight="1">
      <c r="A519" s="183"/>
      <c r="B519" s="183"/>
      <c r="C519" s="183"/>
      <c r="D519" s="183"/>
      <c r="E519" s="183"/>
      <c r="F519" s="183"/>
      <c r="G519" s="147"/>
      <c r="H519" s="147"/>
      <c r="I519" s="147"/>
      <c r="J519" s="147"/>
      <c r="K519" s="147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</row>
    <row r="520" spans="1:53" ht="13" customHeight="1">
      <c r="A520" s="183"/>
      <c r="B520" s="183"/>
      <c r="C520" s="183"/>
      <c r="D520" s="183"/>
      <c r="E520" s="183"/>
      <c r="F520" s="183"/>
      <c r="G520" s="147"/>
      <c r="H520" s="147"/>
      <c r="I520" s="147"/>
      <c r="J520" s="147"/>
      <c r="K520" s="147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</row>
    <row r="521" spans="1:53" ht="13" customHeight="1">
      <c r="A521" s="183"/>
      <c r="B521" s="183"/>
      <c r="C521" s="183"/>
      <c r="D521" s="183"/>
      <c r="E521" s="183"/>
      <c r="F521" s="183"/>
      <c r="G521" s="147"/>
      <c r="H521" s="147"/>
      <c r="I521" s="147"/>
      <c r="J521" s="147"/>
      <c r="K521" s="147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</row>
    <row r="522" spans="1:53" ht="13" customHeight="1">
      <c r="A522" s="183"/>
      <c r="B522" s="183"/>
      <c r="C522" s="183"/>
      <c r="D522" s="183"/>
      <c r="E522" s="183"/>
      <c r="F522" s="183"/>
      <c r="G522" s="147"/>
      <c r="H522" s="147"/>
      <c r="I522" s="147"/>
      <c r="J522" s="147"/>
      <c r="K522" s="147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</row>
    <row r="523" spans="1:53" ht="13" customHeight="1">
      <c r="A523" s="183"/>
      <c r="B523" s="183"/>
      <c r="C523" s="183"/>
      <c r="D523" s="183"/>
      <c r="E523" s="183"/>
      <c r="F523" s="183"/>
      <c r="G523" s="147"/>
      <c r="H523" s="147"/>
      <c r="I523" s="147"/>
      <c r="J523" s="147"/>
      <c r="K523" s="147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</row>
    <row r="524" spans="1:53" ht="13" customHeight="1">
      <c r="A524" s="183"/>
      <c r="B524" s="183"/>
      <c r="C524" s="183"/>
      <c r="D524" s="183"/>
      <c r="E524" s="183"/>
      <c r="F524" s="183"/>
      <c r="G524" s="147"/>
      <c r="H524" s="147"/>
      <c r="I524" s="147"/>
      <c r="J524" s="147"/>
      <c r="K524" s="147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</row>
    <row r="525" spans="1:53" ht="13" customHeight="1">
      <c r="A525" s="183"/>
      <c r="B525" s="183"/>
      <c r="C525" s="183"/>
      <c r="D525" s="183"/>
      <c r="E525" s="183"/>
      <c r="F525" s="183"/>
      <c r="G525" s="147"/>
      <c r="H525" s="147"/>
      <c r="I525" s="147"/>
      <c r="J525" s="147"/>
      <c r="K525" s="147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</row>
    <row r="526" spans="1:53" ht="13" customHeight="1">
      <c r="A526" s="183"/>
      <c r="B526" s="183"/>
      <c r="C526" s="183"/>
      <c r="D526" s="183"/>
      <c r="E526" s="183"/>
      <c r="F526" s="183"/>
      <c r="G526" s="147"/>
      <c r="H526" s="147"/>
      <c r="I526" s="147"/>
      <c r="J526" s="147"/>
      <c r="K526" s="147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</row>
    <row r="527" spans="1:53" ht="13" customHeight="1">
      <c r="A527" s="183"/>
      <c r="B527" s="183"/>
      <c r="C527" s="183"/>
      <c r="D527" s="183"/>
      <c r="E527" s="183"/>
      <c r="F527" s="183"/>
      <c r="G527" s="147"/>
      <c r="H527" s="147"/>
      <c r="I527" s="147"/>
      <c r="J527" s="147"/>
      <c r="K527" s="147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</row>
    <row r="528" spans="1:53" ht="13" customHeight="1">
      <c r="A528" s="183"/>
      <c r="B528" s="183"/>
      <c r="C528" s="183"/>
      <c r="D528" s="183"/>
      <c r="E528" s="183"/>
      <c r="F528" s="183"/>
      <c r="G528" s="147"/>
      <c r="H528" s="147"/>
      <c r="I528" s="147"/>
      <c r="J528" s="147"/>
      <c r="K528" s="147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</row>
    <row r="529" spans="1:53" ht="13" customHeight="1">
      <c r="A529" s="183"/>
      <c r="B529" s="183"/>
      <c r="C529" s="183"/>
      <c r="D529" s="183"/>
      <c r="E529" s="183"/>
      <c r="F529" s="183"/>
      <c r="G529" s="147"/>
      <c r="H529" s="147"/>
      <c r="I529" s="147"/>
      <c r="J529" s="147"/>
      <c r="K529" s="147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</row>
    <row r="530" spans="1:53" ht="13" customHeight="1">
      <c r="A530" s="183"/>
      <c r="B530" s="183"/>
      <c r="C530" s="183"/>
      <c r="D530" s="183"/>
      <c r="E530" s="183"/>
      <c r="F530" s="183"/>
      <c r="G530" s="147"/>
      <c r="H530" s="147"/>
      <c r="I530" s="147"/>
      <c r="J530" s="147"/>
      <c r="K530" s="147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</row>
    <row r="531" spans="1:53" ht="13" customHeight="1">
      <c r="A531" s="183"/>
      <c r="B531" s="183"/>
      <c r="C531" s="183"/>
      <c r="D531" s="183"/>
      <c r="E531" s="183"/>
      <c r="F531" s="183"/>
      <c r="G531" s="147"/>
      <c r="H531" s="147"/>
      <c r="I531" s="147"/>
      <c r="J531" s="147"/>
      <c r="K531" s="147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</row>
    <row r="532" spans="1:53" ht="13" customHeight="1">
      <c r="A532" s="183"/>
      <c r="B532" s="183"/>
      <c r="C532" s="183"/>
      <c r="D532" s="183"/>
      <c r="E532" s="183"/>
      <c r="F532" s="183"/>
      <c r="G532" s="147"/>
      <c r="H532" s="147"/>
      <c r="I532" s="147"/>
      <c r="J532" s="147"/>
      <c r="K532" s="147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</row>
    <row r="533" spans="1:53" ht="13" customHeight="1">
      <c r="A533" s="183"/>
      <c r="B533" s="183"/>
      <c r="C533" s="183"/>
      <c r="D533" s="183"/>
      <c r="E533" s="183"/>
      <c r="F533" s="183"/>
      <c r="G533" s="147"/>
      <c r="H533" s="147"/>
      <c r="I533" s="147"/>
      <c r="J533" s="147"/>
      <c r="K533" s="147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</row>
    <row r="534" spans="1:53" ht="13" customHeight="1">
      <c r="A534" s="183"/>
      <c r="B534" s="183"/>
      <c r="C534" s="183"/>
      <c r="D534" s="183"/>
      <c r="E534" s="183"/>
      <c r="F534" s="183"/>
      <c r="G534" s="147"/>
      <c r="H534" s="147"/>
      <c r="I534" s="147"/>
      <c r="J534" s="147"/>
      <c r="K534" s="147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</row>
    <row r="535" spans="1:53" ht="13" customHeight="1">
      <c r="A535" s="183"/>
      <c r="B535" s="183"/>
      <c r="C535" s="183"/>
      <c r="D535" s="183"/>
      <c r="E535" s="183"/>
      <c r="F535" s="183"/>
      <c r="G535" s="147"/>
      <c r="H535" s="147"/>
      <c r="I535" s="147"/>
      <c r="J535" s="147"/>
      <c r="K535" s="147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</row>
    <row r="536" spans="1:53" ht="13" customHeight="1">
      <c r="A536" s="183"/>
      <c r="B536" s="183"/>
      <c r="C536" s="183"/>
      <c r="D536" s="183"/>
      <c r="E536" s="183"/>
      <c r="F536" s="183"/>
      <c r="G536" s="147"/>
      <c r="H536" s="147"/>
      <c r="I536" s="147"/>
      <c r="J536" s="147"/>
      <c r="K536" s="147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</row>
    <row r="537" spans="1:53" ht="13" customHeight="1">
      <c r="A537" s="183"/>
      <c r="B537" s="183"/>
      <c r="C537" s="183"/>
      <c r="D537" s="183"/>
      <c r="E537" s="183"/>
      <c r="F537" s="183"/>
      <c r="G537" s="147"/>
      <c r="H537" s="147"/>
      <c r="I537" s="147"/>
      <c r="J537" s="147"/>
      <c r="K537" s="147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</row>
    <row r="538" spans="1:53" ht="13" customHeight="1">
      <c r="A538" s="183"/>
      <c r="B538" s="183"/>
      <c r="C538" s="183"/>
      <c r="D538" s="183"/>
      <c r="E538" s="183"/>
      <c r="F538" s="183"/>
      <c r="G538" s="147"/>
      <c r="H538" s="147"/>
      <c r="I538" s="147"/>
      <c r="J538" s="147"/>
      <c r="K538" s="147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</row>
    <row r="539" spans="1:53" ht="13" customHeight="1">
      <c r="A539" s="183"/>
      <c r="B539" s="183"/>
      <c r="C539" s="183"/>
      <c r="D539" s="183"/>
      <c r="E539" s="183"/>
      <c r="F539" s="183"/>
      <c r="G539" s="147"/>
      <c r="H539" s="147"/>
      <c r="I539" s="147"/>
      <c r="J539" s="147"/>
      <c r="K539" s="147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</row>
    <row r="540" spans="1:53" ht="13" customHeight="1">
      <c r="A540" s="183"/>
      <c r="B540" s="183"/>
      <c r="C540" s="183"/>
      <c r="D540" s="183"/>
      <c r="E540" s="183"/>
      <c r="F540" s="183"/>
      <c r="G540" s="147"/>
      <c r="H540" s="147"/>
      <c r="I540" s="147"/>
      <c r="J540" s="147"/>
      <c r="K540" s="147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</row>
    <row r="541" spans="1:53" ht="13" customHeight="1">
      <c r="A541" s="183"/>
      <c r="B541" s="183"/>
      <c r="C541" s="183"/>
      <c r="D541" s="183"/>
      <c r="E541" s="183"/>
      <c r="F541" s="183"/>
      <c r="G541" s="147"/>
      <c r="H541" s="147"/>
      <c r="I541" s="147"/>
      <c r="J541" s="147"/>
      <c r="K541" s="147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</row>
    <row r="542" spans="1:53" ht="13" customHeight="1">
      <c r="A542" s="183"/>
      <c r="B542" s="183"/>
      <c r="C542" s="183"/>
      <c r="D542" s="183"/>
      <c r="E542" s="183"/>
      <c r="F542" s="183"/>
      <c r="G542" s="147"/>
      <c r="H542" s="147"/>
      <c r="I542" s="147"/>
      <c r="J542" s="147"/>
      <c r="K542" s="147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</row>
    <row r="543" spans="1:53" ht="13" customHeight="1">
      <c r="A543" s="183"/>
      <c r="B543" s="183"/>
      <c r="C543" s="183"/>
      <c r="D543" s="183"/>
      <c r="E543" s="183"/>
      <c r="F543" s="183"/>
      <c r="G543" s="147"/>
      <c r="H543" s="147"/>
      <c r="I543" s="147"/>
      <c r="J543" s="147"/>
      <c r="K543" s="147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</row>
    <row r="544" spans="1:53" ht="13" customHeight="1">
      <c r="A544" s="183"/>
      <c r="B544" s="183"/>
      <c r="C544" s="183"/>
      <c r="D544" s="183"/>
      <c r="E544" s="183"/>
      <c r="F544" s="183"/>
      <c r="G544" s="147"/>
      <c r="H544" s="147"/>
      <c r="I544" s="147"/>
      <c r="J544" s="147"/>
      <c r="K544" s="147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</row>
    <row r="545" spans="1:53" ht="13" customHeight="1">
      <c r="A545" s="183"/>
      <c r="B545" s="183"/>
      <c r="C545" s="183"/>
      <c r="D545" s="183"/>
      <c r="E545" s="183"/>
      <c r="F545" s="183"/>
      <c r="G545" s="147"/>
      <c r="H545" s="147"/>
      <c r="I545" s="147"/>
      <c r="J545" s="147"/>
      <c r="K545" s="147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</row>
    <row r="546" spans="1:53" ht="13" customHeight="1">
      <c r="A546" s="183"/>
      <c r="B546" s="183"/>
      <c r="C546" s="183"/>
      <c r="D546" s="183"/>
      <c r="E546" s="183"/>
      <c r="F546" s="183"/>
      <c r="G546" s="147"/>
      <c r="H546" s="147"/>
      <c r="I546" s="147"/>
      <c r="J546" s="147"/>
      <c r="K546" s="147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</row>
    <row r="547" spans="1:53" ht="13" customHeight="1">
      <c r="A547" s="183"/>
      <c r="B547" s="183"/>
      <c r="C547" s="183"/>
      <c r="D547" s="183"/>
      <c r="E547" s="183"/>
      <c r="F547" s="183"/>
      <c r="G547" s="147"/>
      <c r="H547" s="147"/>
      <c r="I547" s="147"/>
      <c r="J547" s="147"/>
      <c r="K547" s="147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</row>
    <row r="548" spans="1:53" ht="13" customHeight="1">
      <c r="A548" s="183"/>
      <c r="B548" s="183"/>
      <c r="C548" s="183"/>
      <c r="D548" s="183"/>
      <c r="E548" s="183"/>
      <c r="F548" s="183"/>
      <c r="G548" s="147"/>
      <c r="H548" s="147"/>
      <c r="I548" s="147"/>
      <c r="J548" s="147"/>
      <c r="K548" s="147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</row>
    <row r="549" spans="1:53" ht="13" customHeight="1">
      <c r="A549" s="183"/>
      <c r="B549" s="183"/>
      <c r="C549" s="183"/>
      <c r="D549" s="183"/>
      <c r="E549" s="183"/>
      <c r="F549" s="183"/>
      <c r="G549" s="147"/>
      <c r="H549" s="147"/>
      <c r="I549" s="147"/>
      <c r="J549" s="147"/>
      <c r="K549" s="147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</row>
    <row r="550" spans="1:53" ht="13" customHeight="1">
      <c r="A550" s="183"/>
      <c r="B550" s="183"/>
      <c r="C550" s="183"/>
      <c r="D550" s="183"/>
      <c r="E550" s="183"/>
      <c r="F550" s="183"/>
      <c r="G550" s="147"/>
      <c r="H550" s="147"/>
      <c r="I550" s="147"/>
      <c r="J550" s="147"/>
      <c r="K550" s="147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</row>
    <row r="551" spans="1:53" ht="13" customHeight="1">
      <c r="A551" s="183"/>
      <c r="B551" s="183"/>
      <c r="C551" s="183"/>
      <c r="D551" s="183"/>
      <c r="E551" s="183"/>
      <c r="F551" s="183"/>
      <c r="G551" s="147"/>
      <c r="H551" s="147"/>
      <c r="I551" s="147"/>
      <c r="J551" s="147"/>
      <c r="K551" s="147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</row>
    <row r="552" spans="1:53" ht="13" customHeight="1">
      <c r="A552" s="183"/>
      <c r="B552" s="183"/>
      <c r="C552" s="183"/>
      <c r="D552" s="183"/>
      <c r="E552" s="183"/>
      <c r="F552" s="183"/>
      <c r="G552" s="147"/>
      <c r="H552" s="147"/>
      <c r="I552" s="147"/>
      <c r="J552" s="147"/>
      <c r="K552" s="147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</row>
    <row r="553" spans="1:53" ht="13" customHeight="1">
      <c r="A553" s="183"/>
      <c r="B553" s="183"/>
      <c r="C553" s="183"/>
      <c r="D553" s="183"/>
      <c r="E553" s="183"/>
      <c r="F553" s="183"/>
      <c r="G553" s="147"/>
      <c r="H553" s="147"/>
      <c r="I553" s="147"/>
      <c r="J553" s="147"/>
      <c r="K553" s="147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</row>
    <row r="554" spans="1:53" ht="13" customHeight="1">
      <c r="A554" s="183"/>
      <c r="B554" s="183"/>
      <c r="C554" s="183"/>
      <c r="D554" s="183"/>
      <c r="E554" s="183"/>
      <c r="F554" s="183"/>
      <c r="G554" s="147"/>
      <c r="H554" s="147"/>
      <c r="I554" s="147"/>
      <c r="J554" s="147"/>
      <c r="K554" s="147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</row>
    <row r="555" spans="1:53" ht="13" customHeight="1">
      <c r="A555" s="183"/>
      <c r="B555" s="183"/>
      <c r="C555" s="183"/>
      <c r="D555" s="183"/>
      <c r="E555" s="183"/>
      <c r="F555" s="183"/>
      <c r="G555" s="147"/>
      <c r="H555" s="147"/>
      <c r="I555" s="147"/>
      <c r="J555" s="147"/>
      <c r="K555" s="147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</row>
    <row r="556" spans="1:53" ht="13" customHeight="1">
      <c r="A556" s="183"/>
      <c r="B556" s="183"/>
      <c r="C556" s="183"/>
      <c r="D556" s="183"/>
      <c r="E556" s="183"/>
      <c r="F556" s="183"/>
      <c r="G556" s="147"/>
      <c r="H556" s="147"/>
      <c r="I556" s="147"/>
      <c r="J556" s="147"/>
      <c r="K556" s="147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</row>
    <row r="557" spans="1:53" ht="13" customHeight="1">
      <c r="A557" s="183"/>
      <c r="B557" s="183"/>
      <c r="C557" s="183"/>
      <c r="D557" s="183"/>
      <c r="E557" s="183"/>
      <c r="F557" s="183"/>
      <c r="G557" s="147"/>
      <c r="H557" s="147"/>
      <c r="I557" s="147"/>
      <c r="J557" s="147"/>
      <c r="K557" s="147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</row>
    <row r="558" spans="1:53" ht="13" customHeight="1">
      <c r="A558" s="183"/>
      <c r="B558" s="183"/>
      <c r="C558" s="183"/>
      <c r="D558" s="183"/>
      <c r="E558" s="183"/>
      <c r="F558" s="183"/>
      <c r="G558" s="147"/>
      <c r="H558" s="147"/>
      <c r="I558" s="147"/>
      <c r="J558" s="147"/>
      <c r="K558" s="147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</row>
    <row r="559" spans="1:53" ht="13" customHeight="1">
      <c r="A559" s="183"/>
      <c r="B559" s="183"/>
      <c r="C559" s="183"/>
      <c r="D559" s="183"/>
      <c r="E559" s="183"/>
      <c r="F559" s="183"/>
      <c r="G559" s="147"/>
      <c r="H559" s="147"/>
      <c r="I559" s="147"/>
      <c r="J559" s="147"/>
      <c r="K559" s="147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</row>
    <row r="560" spans="1:53" ht="13" customHeight="1">
      <c r="A560" s="183"/>
      <c r="B560" s="183"/>
      <c r="C560" s="183"/>
      <c r="D560" s="183"/>
      <c r="E560" s="183"/>
      <c r="F560" s="183"/>
      <c r="G560" s="147"/>
      <c r="H560" s="147"/>
      <c r="I560" s="147"/>
      <c r="J560" s="147"/>
      <c r="K560" s="147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</row>
    <row r="561" spans="1:53" ht="13" customHeight="1">
      <c r="A561" s="183"/>
      <c r="B561" s="183"/>
      <c r="C561" s="183"/>
      <c r="D561" s="183"/>
      <c r="E561" s="183"/>
      <c r="F561" s="183"/>
      <c r="G561" s="147"/>
      <c r="H561" s="147"/>
      <c r="I561" s="147"/>
      <c r="J561" s="147"/>
      <c r="K561" s="147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</row>
    <row r="562" spans="1:53" ht="13" customHeight="1">
      <c r="A562" s="183"/>
      <c r="B562" s="183"/>
      <c r="C562" s="183"/>
      <c r="D562" s="183"/>
      <c r="E562" s="183"/>
      <c r="F562" s="183"/>
      <c r="G562" s="147"/>
      <c r="H562" s="147"/>
      <c r="I562" s="147"/>
      <c r="J562" s="147"/>
      <c r="K562" s="147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</row>
    <row r="563" spans="1:53" ht="13" customHeight="1">
      <c r="A563" s="183"/>
      <c r="B563" s="183"/>
      <c r="C563" s="183"/>
      <c r="D563" s="183"/>
      <c r="E563" s="183"/>
      <c r="F563" s="183"/>
      <c r="G563" s="147"/>
      <c r="H563" s="147"/>
      <c r="I563" s="147"/>
      <c r="J563" s="147"/>
      <c r="K563" s="147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</row>
    <row r="564" spans="1:53" ht="13" customHeight="1">
      <c r="A564" s="183"/>
      <c r="B564" s="183"/>
      <c r="C564" s="183"/>
      <c r="D564" s="183"/>
      <c r="E564" s="183"/>
      <c r="F564" s="183"/>
      <c r="G564" s="147"/>
      <c r="H564" s="147"/>
      <c r="I564" s="147"/>
      <c r="J564" s="147"/>
      <c r="K564" s="147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</row>
    <row r="565" spans="1:53" ht="13" customHeight="1">
      <c r="A565" s="183"/>
      <c r="B565" s="183"/>
      <c r="C565" s="183"/>
      <c r="D565" s="183"/>
      <c r="E565" s="183"/>
      <c r="F565" s="183"/>
      <c r="G565" s="147"/>
      <c r="H565" s="147"/>
      <c r="I565" s="147"/>
      <c r="J565" s="147"/>
      <c r="K565" s="147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</row>
    <row r="566" spans="1:53" ht="13" customHeight="1">
      <c r="A566" s="183"/>
      <c r="B566" s="183"/>
      <c r="C566" s="183"/>
      <c r="D566" s="183"/>
      <c r="E566" s="183"/>
      <c r="F566" s="183"/>
      <c r="G566" s="147"/>
      <c r="H566" s="147"/>
      <c r="I566" s="147"/>
      <c r="J566" s="147"/>
      <c r="K566" s="147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</row>
    <row r="567" spans="1:53" ht="13" customHeight="1">
      <c r="A567" s="183"/>
      <c r="B567" s="183"/>
      <c r="C567" s="183"/>
      <c r="D567" s="183"/>
      <c r="E567" s="183"/>
      <c r="F567" s="183"/>
      <c r="G567" s="147"/>
      <c r="H567" s="147"/>
      <c r="I567" s="147"/>
      <c r="J567" s="147"/>
      <c r="K567" s="147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</row>
    <row r="568" spans="1:53" ht="13" customHeight="1">
      <c r="A568" s="183"/>
      <c r="B568" s="183"/>
      <c r="C568" s="183"/>
      <c r="D568" s="183"/>
      <c r="E568" s="183"/>
      <c r="F568" s="183"/>
      <c r="G568" s="147"/>
      <c r="H568" s="147"/>
      <c r="I568" s="147"/>
      <c r="J568" s="147"/>
      <c r="K568" s="147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</row>
    <row r="569" spans="1:53" ht="13" customHeight="1">
      <c r="A569" s="183"/>
      <c r="B569" s="183"/>
      <c r="C569" s="183"/>
      <c r="D569" s="183"/>
      <c r="E569" s="183"/>
      <c r="F569" s="183"/>
      <c r="G569" s="147"/>
      <c r="H569" s="147"/>
      <c r="I569" s="147"/>
      <c r="J569" s="147"/>
      <c r="K569" s="147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  <c r="AA569" s="183"/>
      <c r="AB569" s="183"/>
      <c r="AC569" s="183"/>
      <c r="AD569" s="183"/>
      <c r="AE569" s="183"/>
      <c r="AF569" s="183"/>
      <c r="AG569" s="183"/>
      <c r="AH569" s="183"/>
      <c r="AI569" s="183"/>
      <c r="AJ569" s="183"/>
      <c r="AK569" s="183"/>
      <c r="AL569" s="183"/>
      <c r="AM569" s="183"/>
      <c r="AN569" s="183"/>
    </row>
    <row r="570" spans="1:53" ht="13" customHeight="1">
      <c r="A570" s="183"/>
      <c r="B570" s="183"/>
      <c r="C570" s="183"/>
      <c r="D570" s="183"/>
      <c r="E570" s="183"/>
      <c r="F570" s="183"/>
      <c r="G570" s="147"/>
      <c r="H570" s="147"/>
      <c r="I570" s="147"/>
      <c r="J570" s="147"/>
      <c r="K570" s="147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  <c r="AA570" s="183"/>
      <c r="AB570" s="183"/>
      <c r="AC570" s="183"/>
      <c r="AD570" s="183"/>
      <c r="AE570" s="183"/>
      <c r="AF570" s="183"/>
      <c r="AG570" s="183"/>
      <c r="AH570" s="183"/>
      <c r="AI570" s="183"/>
      <c r="AJ570" s="183"/>
      <c r="AK570" s="183"/>
      <c r="AL570" s="183"/>
      <c r="AM570" s="183"/>
      <c r="AN570" s="183"/>
    </row>
    <row r="571" spans="1:53" ht="13" customHeight="1">
      <c r="A571" s="183"/>
      <c r="B571" s="183"/>
      <c r="C571" s="183"/>
      <c r="D571" s="183"/>
      <c r="E571" s="183"/>
      <c r="F571" s="183"/>
      <c r="G571" s="147"/>
      <c r="H571" s="147"/>
      <c r="I571" s="147"/>
      <c r="J571" s="147"/>
      <c r="K571" s="147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  <c r="AA571" s="183"/>
      <c r="AB571" s="183"/>
      <c r="AC571" s="183"/>
      <c r="AD571" s="183"/>
      <c r="AE571" s="183"/>
      <c r="AF571" s="183"/>
      <c r="AG571" s="183"/>
      <c r="AH571" s="183"/>
      <c r="AI571" s="183"/>
      <c r="AJ571" s="183"/>
      <c r="AK571" s="183"/>
      <c r="AL571" s="183"/>
      <c r="AM571" s="183"/>
      <c r="AN571" s="183"/>
    </row>
    <row r="572" spans="1:53" ht="13" customHeight="1">
      <c r="A572" s="183"/>
      <c r="B572" s="183"/>
      <c r="C572" s="183"/>
      <c r="D572" s="183"/>
      <c r="E572" s="183"/>
      <c r="F572" s="183"/>
      <c r="G572" s="147"/>
      <c r="H572" s="147"/>
      <c r="I572" s="147"/>
      <c r="J572" s="147"/>
      <c r="K572" s="147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  <c r="AA572" s="183"/>
      <c r="AB572" s="183"/>
      <c r="AC572" s="183"/>
      <c r="AD572" s="183"/>
      <c r="AE572" s="183"/>
      <c r="AF572" s="183"/>
      <c r="AG572" s="183"/>
      <c r="AH572" s="183"/>
      <c r="AI572" s="183"/>
      <c r="AJ572" s="183"/>
      <c r="AK572" s="183"/>
      <c r="AL572" s="183"/>
      <c r="AM572" s="183"/>
      <c r="AN572" s="183"/>
    </row>
    <row r="573" spans="1:53" ht="13" customHeight="1">
      <c r="A573" s="183"/>
      <c r="B573" s="183"/>
      <c r="C573" s="183"/>
      <c r="D573" s="183"/>
      <c r="E573" s="183"/>
      <c r="F573" s="183"/>
      <c r="G573" s="147"/>
      <c r="H573" s="147"/>
      <c r="I573" s="147"/>
      <c r="J573" s="147"/>
      <c r="K573" s="147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  <c r="AA573" s="183"/>
      <c r="AB573" s="183"/>
      <c r="AC573" s="183"/>
      <c r="AD573" s="183"/>
      <c r="AE573" s="183"/>
      <c r="AF573" s="183"/>
      <c r="AG573" s="183"/>
      <c r="AH573" s="183"/>
      <c r="AI573" s="183"/>
      <c r="AJ573" s="183"/>
      <c r="AK573" s="183"/>
      <c r="AL573" s="183"/>
      <c r="AM573" s="183"/>
      <c r="AN573" s="183"/>
    </row>
    <row r="574" spans="1:53" ht="13" customHeight="1">
      <c r="A574" s="183"/>
      <c r="B574" s="183"/>
      <c r="C574" s="183"/>
      <c r="D574" s="183"/>
      <c r="E574" s="183"/>
      <c r="F574" s="183"/>
      <c r="G574" s="147"/>
      <c r="H574" s="147"/>
      <c r="I574" s="147"/>
      <c r="J574" s="147"/>
      <c r="K574" s="147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  <c r="AA574" s="183"/>
      <c r="AB574" s="183"/>
      <c r="AC574" s="183"/>
      <c r="AD574" s="183"/>
      <c r="AE574" s="183"/>
      <c r="AF574" s="183"/>
      <c r="AG574" s="183"/>
      <c r="AH574" s="183"/>
      <c r="AI574" s="183"/>
      <c r="AJ574" s="183"/>
      <c r="AK574" s="183"/>
      <c r="AL574" s="183"/>
      <c r="AM574" s="183"/>
      <c r="AN574" s="183"/>
    </row>
    <row r="575" spans="1:53" ht="13" customHeight="1">
      <c r="A575" s="183"/>
      <c r="B575" s="183"/>
      <c r="C575" s="183"/>
      <c r="D575" s="183"/>
      <c r="E575" s="183"/>
      <c r="F575" s="183"/>
      <c r="G575" s="147"/>
      <c r="H575" s="147"/>
      <c r="I575" s="147"/>
      <c r="J575" s="147"/>
      <c r="K575" s="147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  <c r="AA575" s="183"/>
      <c r="AB575" s="183"/>
      <c r="AC575" s="183"/>
      <c r="AD575" s="183"/>
      <c r="AE575" s="183"/>
      <c r="AF575" s="183"/>
      <c r="AG575" s="183"/>
      <c r="AH575" s="183"/>
      <c r="AI575" s="183"/>
      <c r="AJ575" s="183"/>
      <c r="AK575" s="183"/>
      <c r="AL575" s="183"/>
      <c r="AM575" s="183"/>
      <c r="AN575" s="183"/>
    </row>
    <row r="576" spans="1:53" ht="13" customHeight="1">
      <c r="A576" s="183"/>
      <c r="B576" s="183"/>
      <c r="C576" s="183"/>
      <c r="D576" s="183"/>
      <c r="E576" s="183"/>
      <c r="F576" s="183"/>
      <c r="G576" s="147"/>
      <c r="H576" s="147"/>
      <c r="I576" s="147"/>
      <c r="J576" s="147"/>
      <c r="K576" s="147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  <c r="AA576" s="183"/>
      <c r="AB576" s="183"/>
      <c r="AC576" s="183"/>
      <c r="AD576" s="183"/>
      <c r="AE576" s="183"/>
      <c r="AF576" s="183"/>
      <c r="AG576" s="183"/>
      <c r="AH576" s="183"/>
      <c r="AI576" s="183"/>
      <c r="AJ576" s="183"/>
      <c r="AK576" s="183"/>
      <c r="AL576" s="183"/>
      <c r="AM576" s="183"/>
      <c r="AN576" s="183"/>
    </row>
    <row r="577" spans="1:40" ht="13" customHeight="1">
      <c r="A577" s="183"/>
      <c r="B577" s="183"/>
      <c r="C577" s="183"/>
      <c r="D577" s="183"/>
      <c r="E577" s="183"/>
      <c r="F577" s="183"/>
      <c r="G577" s="147"/>
      <c r="H577" s="147"/>
      <c r="I577" s="147"/>
      <c r="J577" s="147"/>
      <c r="K577" s="147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  <c r="AA577" s="183"/>
      <c r="AB577" s="183"/>
      <c r="AC577" s="183"/>
      <c r="AD577" s="183"/>
      <c r="AE577" s="183"/>
      <c r="AF577" s="183"/>
      <c r="AG577" s="183"/>
      <c r="AH577" s="183"/>
      <c r="AI577" s="183"/>
      <c r="AJ577" s="183"/>
      <c r="AK577" s="183"/>
      <c r="AL577" s="183"/>
      <c r="AM577" s="183"/>
      <c r="AN577" s="183"/>
    </row>
    <row r="578" spans="1:40" ht="13" customHeight="1">
      <c r="A578" s="183"/>
      <c r="B578" s="183"/>
      <c r="C578" s="183"/>
      <c r="D578" s="183"/>
      <c r="E578" s="183"/>
      <c r="F578" s="183"/>
      <c r="G578" s="147"/>
      <c r="H578" s="147"/>
      <c r="I578" s="147"/>
      <c r="J578" s="147"/>
      <c r="K578" s="147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  <c r="AA578" s="183"/>
      <c r="AB578" s="183"/>
      <c r="AC578" s="183"/>
      <c r="AD578" s="183"/>
      <c r="AE578" s="183"/>
      <c r="AF578" s="183"/>
      <c r="AG578" s="183"/>
      <c r="AH578" s="183"/>
      <c r="AI578" s="183"/>
      <c r="AJ578" s="183"/>
      <c r="AK578" s="183"/>
      <c r="AL578" s="183"/>
      <c r="AM578" s="183"/>
      <c r="AN578" s="183"/>
    </row>
    <row r="579" spans="1:40" ht="13" customHeight="1">
      <c r="A579" s="183"/>
      <c r="B579" s="183"/>
      <c r="C579" s="183"/>
      <c r="D579" s="183"/>
      <c r="E579" s="183"/>
      <c r="F579" s="183"/>
      <c r="G579" s="147"/>
      <c r="H579" s="147"/>
      <c r="I579" s="147"/>
      <c r="J579" s="147"/>
      <c r="K579" s="147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  <c r="AA579" s="183"/>
      <c r="AB579" s="183"/>
      <c r="AC579" s="183"/>
      <c r="AD579" s="183"/>
      <c r="AE579" s="183"/>
      <c r="AF579" s="183"/>
      <c r="AG579" s="183"/>
      <c r="AH579" s="183"/>
      <c r="AI579" s="183"/>
      <c r="AJ579" s="183"/>
      <c r="AK579" s="183"/>
      <c r="AL579" s="183"/>
      <c r="AM579" s="183"/>
      <c r="AN579" s="183"/>
    </row>
    <row r="580" spans="1:40" ht="13" customHeight="1">
      <c r="A580" s="183"/>
      <c r="B580" s="183"/>
      <c r="C580" s="183"/>
      <c r="D580" s="183"/>
      <c r="E580" s="183"/>
      <c r="F580" s="183"/>
      <c r="G580" s="147"/>
      <c r="H580" s="147"/>
      <c r="I580" s="147"/>
      <c r="J580" s="147"/>
      <c r="K580" s="147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  <c r="AA580" s="183"/>
      <c r="AB580" s="183"/>
      <c r="AC580" s="183"/>
      <c r="AD580" s="183"/>
      <c r="AE580" s="183"/>
      <c r="AF580" s="183"/>
      <c r="AG580" s="183"/>
      <c r="AH580" s="183"/>
      <c r="AI580" s="183"/>
      <c r="AJ580" s="183"/>
      <c r="AK580" s="183"/>
      <c r="AL580" s="183"/>
      <c r="AM580" s="183"/>
      <c r="AN580" s="183"/>
    </row>
    <row r="581" spans="1:40" ht="13" customHeight="1">
      <c r="A581" s="183"/>
      <c r="B581" s="183"/>
      <c r="C581" s="183"/>
      <c r="D581" s="183"/>
      <c r="E581" s="183"/>
      <c r="F581" s="183"/>
      <c r="G581" s="147"/>
      <c r="H581" s="147"/>
      <c r="I581" s="147"/>
      <c r="J581" s="147"/>
      <c r="K581" s="147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  <c r="AA581" s="183"/>
      <c r="AB581" s="183"/>
      <c r="AC581" s="183"/>
      <c r="AD581" s="183"/>
      <c r="AE581" s="183"/>
      <c r="AF581" s="183"/>
      <c r="AG581" s="183"/>
      <c r="AH581" s="183"/>
      <c r="AI581" s="183"/>
      <c r="AJ581" s="183"/>
      <c r="AK581" s="183"/>
      <c r="AL581" s="183"/>
      <c r="AM581" s="183"/>
      <c r="AN581" s="183"/>
    </row>
    <row r="582" spans="1:40" ht="13" customHeight="1">
      <c r="A582" s="183"/>
      <c r="B582" s="183"/>
      <c r="C582" s="183"/>
      <c r="D582" s="183"/>
      <c r="E582" s="183"/>
      <c r="F582" s="183"/>
      <c r="G582" s="147"/>
      <c r="H582" s="147"/>
      <c r="I582" s="147"/>
      <c r="J582" s="147"/>
      <c r="K582" s="147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  <c r="AA582" s="183"/>
      <c r="AB582" s="183"/>
      <c r="AC582" s="183"/>
      <c r="AD582" s="183"/>
      <c r="AE582" s="183"/>
      <c r="AF582" s="183"/>
      <c r="AG582" s="183"/>
      <c r="AH582" s="183"/>
      <c r="AI582" s="183"/>
      <c r="AJ582" s="183"/>
      <c r="AK582" s="183"/>
      <c r="AL582" s="183"/>
      <c r="AM582" s="183"/>
      <c r="AN582" s="183"/>
    </row>
    <row r="583" spans="1:40" ht="13" customHeight="1">
      <c r="A583" s="183"/>
      <c r="B583" s="183"/>
      <c r="C583" s="183"/>
      <c r="D583" s="183"/>
      <c r="E583" s="183"/>
      <c r="F583" s="183"/>
      <c r="G583" s="147"/>
      <c r="H583" s="147"/>
      <c r="I583" s="147"/>
      <c r="J583" s="147"/>
      <c r="K583" s="147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  <c r="AA583" s="183"/>
      <c r="AB583" s="183"/>
      <c r="AC583" s="183"/>
      <c r="AD583" s="183"/>
      <c r="AE583" s="183"/>
      <c r="AF583" s="183"/>
      <c r="AG583" s="183"/>
      <c r="AH583" s="183"/>
      <c r="AI583" s="183"/>
      <c r="AJ583" s="183"/>
      <c r="AK583" s="183"/>
      <c r="AL583" s="183"/>
      <c r="AM583" s="183"/>
      <c r="AN583" s="183"/>
    </row>
    <row r="584" spans="1:40" ht="13" customHeight="1">
      <c r="A584" s="183"/>
      <c r="B584" s="183"/>
      <c r="C584" s="183"/>
      <c r="D584" s="183"/>
      <c r="E584" s="183"/>
      <c r="F584" s="183"/>
      <c r="G584" s="147"/>
      <c r="H584" s="147"/>
      <c r="I584" s="147"/>
      <c r="J584" s="147"/>
      <c r="K584" s="147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  <c r="AA584" s="183"/>
      <c r="AB584" s="183"/>
      <c r="AC584" s="183"/>
      <c r="AD584" s="183"/>
      <c r="AE584" s="183"/>
      <c r="AF584" s="183"/>
      <c r="AG584" s="183"/>
      <c r="AH584" s="183"/>
      <c r="AI584" s="183"/>
      <c r="AJ584" s="183"/>
      <c r="AK584" s="183"/>
      <c r="AL584" s="183"/>
      <c r="AM584" s="183"/>
      <c r="AN584" s="183"/>
    </row>
    <row r="585" spans="1:40" ht="13" customHeight="1">
      <c r="A585" s="183"/>
      <c r="B585" s="183"/>
      <c r="C585" s="183"/>
      <c r="D585" s="183"/>
      <c r="E585" s="183"/>
      <c r="F585" s="183"/>
      <c r="G585" s="147"/>
      <c r="H585" s="147"/>
      <c r="I585" s="147"/>
      <c r="J585" s="147"/>
      <c r="K585" s="147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  <c r="AA585" s="183"/>
      <c r="AB585" s="183"/>
      <c r="AC585" s="183"/>
      <c r="AD585" s="183"/>
      <c r="AE585" s="183"/>
      <c r="AF585" s="183"/>
      <c r="AG585" s="183"/>
      <c r="AH585" s="183"/>
      <c r="AI585" s="183"/>
      <c r="AJ585" s="183"/>
      <c r="AK585" s="183"/>
      <c r="AL585" s="183"/>
      <c r="AM585" s="183"/>
      <c r="AN585" s="183"/>
    </row>
    <row r="586" spans="1:40" ht="13" customHeight="1">
      <c r="A586" s="183"/>
      <c r="B586" s="183"/>
      <c r="C586" s="183"/>
      <c r="D586" s="183"/>
      <c r="E586" s="183"/>
      <c r="F586" s="183"/>
      <c r="G586" s="147"/>
      <c r="H586" s="147"/>
      <c r="I586" s="147"/>
      <c r="J586" s="147"/>
      <c r="K586" s="147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  <c r="AA586" s="183"/>
      <c r="AB586" s="183"/>
      <c r="AC586" s="183"/>
      <c r="AD586" s="183"/>
      <c r="AE586" s="183"/>
      <c r="AF586" s="183"/>
      <c r="AG586" s="183"/>
      <c r="AH586" s="183"/>
      <c r="AI586" s="183"/>
      <c r="AJ586" s="183"/>
      <c r="AK586" s="183"/>
      <c r="AL586" s="183"/>
      <c r="AM586" s="183"/>
      <c r="AN586" s="183"/>
    </row>
    <row r="587" spans="1:40" ht="13" customHeight="1">
      <c r="A587" s="183"/>
      <c r="B587" s="183"/>
      <c r="C587" s="183"/>
      <c r="D587" s="183"/>
      <c r="E587" s="183"/>
      <c r="F587" s="183"/>
      <c r="G587" s="147"/>
      <c r="H587" s="147"/>
      <c r="I587" s="147"/>
      <c r="J587" s="147"/>
      <c r="K587" s="147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  <c r="AA587" s="183"/>
      <c r="AB587" s="183"/>
      <c r="AC587" s="183"/>
      <c r="AD587" s="183"/>
      <c r="AE587" s="183"/>
      <c r="AF587" s="183"/>
      <c r="AG587" s="183"/>
      <c r="AH587" s="183"/>
      <c r="AI587" s="183"/>
      <c r="AJ587" s="183"/>
      <c r="AK587" s="183"/>
      <c r="AL587" s="183"/>
      <c r="AM587" s="183"/>
      <c r="AN587" s="183"/>
    </row>
    <row r="588" spans="1:40" ht="13" customHeight="1">
      <c r="A588" s="183"/>
      <c r="B588" s="183"/>
      <c r="C588" s="183"/>
      <c r="D588" s="183"/>
      <c r="E588" s="183"/>
      <c r="F588" s="183"/>
      <c r="G588" s="147"/>
      <c r="H588" s="147"/>
      <c r="I588" s="147"/>
      <c r="J588" s="147"/>
      <c r="K588" s="147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  <c r="AA588" s="183"/>
      <c r="AB588" s="183"/>
      <c r="AC588" s="183"/>
      <c r="AD588" s="183"/>
      <c r="AE588" s="183"/>
      <c r="AF588" s="183"/>
      <c r="AG588" s="183"/>
      <c r="AH588" s="183"/>
      <c r="AI588" s="183"/>
      <c r="AJ588" s="183"/>
      <c r="AK588" s="183"/>
      <c r="AL588" s="183"/>
      <c r="AM588" s="183"/>
      <c r="AN588" s="183"/>
    </row>
    <row r="589" spans="1:40" ht="13" customHeight="1">
      <c r="A589" s="183"/>
      <c r="B589" s="183"/>
      <c r="C589" s="183"/>
      <c r="D589" s="183"/>
      <c r="E589" s="183"/>
      <c r="F589" s="183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  <c r="AA589" s="183"/>
      <c r="AB589" s="183"/>
      <c r="AC589" s="183"/>
      <c r="AD589" s="183"/>
      <c r="AE589" s="183"/>
      <c r="AF589" s="183"/>
      <c r="AG589" s="183"/>
      <c r="AH589" s="183"/>
      <c r="AI589" s="183"/>
      <c r="AJ589" s="183"/>
      <c r="AK589" s="183"/>
      <c r="AL589" s="183"/>
      <c r="AM589" s="183"/>
      <c r="AN589" s="183"/>
    </row>
    <row r="590" spans="1:40" ht="13" customHeight="1">
      <c r="A590" s="183"/>
      <c r="B590" s="183"/>
      <c r="C590" s="183"/>
      <c r="D590" s="183"/>
      <c r="E590" s="183"/>
      <c r="F590" s="183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  <c r="AA590" s="183"/>
      <c r="AB590" s="183"/>
      <c r="AC590" s="183"/>
      <c r="AD590" s="183"/>
      <c r="AE590" s="183"/>
      <c r="AF590" s="183"/>
      <c r="AG590" s="183"/>
      <c r="AH590" s="183"/>
      <c r="AI590" s="183"/>
      <c r="AJ590" s="183"/>
      <c r="AK590" s="183"/>
      <c r="AL590" s="183"/>
      <c r="AM590" s="183"/>
      <c r="AN590" s="183"/>
    </row>
    <row r="591" spans="1:40" ht="13" customHeight="1">
      <c r="A591" s="183"/>
      <c r="B591" s="183"/>
      <c r="C591" s="183"/>
      <c r="D591" s="183"/>
      <c r="E591" s="183"/>
      <c r="F591" s="183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  <c r="AA591" s="183"/>
      <c r="AB591" s="183"/>
      <c r="AC591" s="183"/>
      <c r="AD591" s="183"/>
      <c r="AE591" s="183"/>
      <c r="AF591" s="183"/>
      <c r="AG591" s="183"/>
      <c r="AH591" s="183"/>
      <c r="AI591" s="183"/>
      <c r="AJ591" s="183"/>
      <c r="AK591" s="183"/>
      <c r="AL591" s="183"/>
      <c r="AM591" s="183"/>
      <c r="AN591" s="183"/>
    </row>
    <row r="592" spans="1:40" ht="13" customHeight="1">
      <c r="A592" s="183"/>
      <c r="B592" s="183"/>
      <c r="C592" s="183"/>
      <c r="D592" s="183"/>
      <c r="E592" s="183"/>
      <c r="F592" s="183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  <c r="AA592" s="183"/>
      <c r="AB592" s="183"/>
      <c r="AC592" s="183"/>
      <c r="AD592" s="183"/>
      <c r="AE592" s="183"/>
      <c r="AF592" s="183"/>
      <c r="AG592" s="183"/>
      <c r="AH592" s="183"/>
      <c r="AI592" s="183"/>
      <c r="AJ592" s="183"/>
      <c r="AK592" s="183"/>
      <c r="AL592" s="183"/>
      <c r="AM592" s="183"/>
      <c r="AN592" s="183"/>
    </row>
    <row r="593" spans="1:40" ht="13" customHeight="1">
      <c r="A593" s="183"/>
      <c r="B593" s="183"/>
      <c r="C593" s="183"/>
      <c r="D593" s="183"/>
      <c r="E593" s="183"/>
      <c r="F593" s="183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  <c r="AA593" s="183"/>
      <c r="AB593" s="183"/>
      <c r="AC593" s="183"/>
      <c r="AD593" s="183"/>
      <c r="AE593" s="183"/>
      <c r="AF593" s="183"/>
      <c r="AG593" s="183"/>
      <c r="AH593" s="183"/>
      <c r="AI593" s="183"/>
      <c r="AJ593" s="183"/>
      <c r="AK593" s="183"/>
      <c r="AL593" s="183"/>
      <c r="AM593" s="183"/>
      <c r="AN593" s="183"/>
    </row>
    <row r="594" spans="1:40" ht="13" customHeight="1">
      <c r="A594" s="183"/>
      <c r="B594" s="183"/>
      <c r="C594" s="183"/>
      <c r="D594" s="183"/>
      <c r="E594" s="183"/>
      <c r="F594" s="183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  <c r="AA594" s="183"/>
      <c r="AB594" s="183"/>
      <c r="AC594" s="183"/>
      <c r="AD594" s="183"/>
      <c r="AE594" s="183"/>
      <c r="AF594" s="183"/>
      <c r="AG594" s="183"/>
      <c r="AH594" s="183"/>
      <c r="AI594" s="183"/>
      <c r="AJ594" s="183"/>
      <c r="AK594" s="183"/>
      <c r="AL594" s="183"/>
      <c r="AM594" s="183"/>
      <c r="AN594" s="183"/>
    </row>
    <row r="595" spans="1:40" ht="13" customHeight="1">
      <c r="A595" s="183"/>
      <c r="B595" s="183"/>
      <c r="C595" s="183"/>
      <c r="D595" s="183"/>
      <c r="E595" s="183"/>
      <c r="F595" s="183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  <c r="AA595" s="183"/>
      <c r="AB595" s="183"/>
      <c r="AC595" s="183"/>
      <c r="AD595" s="183"/>
      <c r="AE595" s="183"/>
      <c r="AF595" s="183"/>
      <c r="AG595" s="183"/>
      <c r="AH595" s="183"/>
      <c r="AI595" s="183"/>
      <c r="AJ595" s="183"/>
      <c r="AK595" s="183"/>
      <c r="AL595" s="183"/>
      <c r="AM595" s="183"/>
      <c r="AN595" s="183"/>
    </row>
    <row r="596" spans="1:40" ht="13" customHeight="1">
      <c r="A596" s="183"/>
      <c r="B596" s="183"/>
      <c r="C596" s="183"/>
      <c r="D596" s="183"/>
      <c r="E596" s="183"/>
      <c r="F596" s="183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  <c r="AA596" s="183"/>
      <c r="AB596" s="183"/>
      <c r="AC596" s="183"/>
      <c r="AD596" s="183"/>
      <c r="AE596" s="183"/>
      <c r="AF596" s="183"/>
      <c r="AG596" s="183"/>
      <c r="AH596" s="183"/>
      <c r="AI596" s="183"/>
      <c r="AJ596" s="183"/>
      <c r="AK596" s="183"/>
      <c r="AL596" s="183"/>
      <c r="AM596" s="183"/>
      <c r="AN596" s="183"/>
    </row>
    <row r="597" spans="1:40" ht="13" customHeight="1">
      <c r="A597" s="183"/>
      <c r="B597" s="183"/>
      <c r="C597" s="183"/>
      <c r="D597" s="183"/>
      <c r="E597" s="183"/>
      <c r="F597" s="183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  <c r="AA597" s="183"/>
      <c r="AB597" s="183"/>
      <c r="AC597" s="183"/>
      <c r="AD597" s="183"/>
      <c r="AE597" s="183"/>
      <c r="AF597" s="183"/>
      <c r="AG597" s="183"/>
      <c r="AH597" s="183"/>
      <c r="AI597" s="183"/>
      <c r="AJ597" s="183"/>
      <c r="AK597" s="183"/>
      <c r="AL597" s="183"/>
      <c r="AM597" s="183"/>
      <c r="AN597" s="183"/>
    </row>
    <row r="598" spans="1:40" ht="13" customHeight="1">
      <c r="A598" s="183"/>
      <c r="B598" s="183"/>
      <c r="C598" s="183"/>
      <c r="D598" s="183"/>
      <c r="E598" s="183"/>
      <c r="F598" s="183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  <c r="AA598" s="183"/>
      <c r="AB598" s="183"/>
      <c r="AC598" s="183"/>
      <c r="AD598" s="183"/>
      <c r="AE598" s="183"/>
      <c r="AF598" s="183"/>
      <c r="AG598" s="183"/>
      <c r="AH598" s="183"/>
      <c r="AI598" s="183"/>
      <c r="AJ598" s="183"/>
      <c r="AK598" s="183"/>
      <c r="AL598" s="183"/>
      <c r="AM598" s="183"/>
      <c r="AN598" s="183"/>
    </row>
    <row r="599" spans="1:40" ht="13" customHeight="1">
      <c r="A599" s="183"/>
      <c r="B599" s="183"/>
      <c r="C599" s="183"/>
      <c r="D599" s="183"/>
      <c r="E599" s="183"/>
      <c r="F599" s="183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  <c r="AA599" s="183"/>
      <c r="AB599" s="183"/>
      <c r="AC599" s="183"/>
      <c r="AD599" s="183"/>
      <c r="AE599" s="183"/>
      <c r="AF599" s="183"/>
      <c r="AG599" s="183"/>
      <c r="AH599" s="183"/>
      <c r="AI599" s="183"/>
      <c r="AJ599" s="183"/>
      <c r="AK599" s="183"/>
      <c r="AL599" s="183"/>
      <c r="AM599" s="183"/>
      <c r="AN599" s="183"/>
    </row>
    <row r="600" spans="1:40" ht="13" customHeight="1">
      <c r="A600" s="183"/>
      <c r="B600" s="183"/>
      <c r="C600" s="183"/>
      <c r="D600" s="183"/>
      <c r="E600" s="183"/>
      <c r="F600" s="183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  <c r="AA600" s="183"/>
      <c r="AB600" s="183"/>
      <c r="AC600" s="183"/>
      <c r="AD600" s="183"/>
      <c r="AE600" s="183"/>
      <c r="AF600" s="183"/>
      <c r="AG600" s="183"/>
      <c r="AH600" s="183"/>
      <c r="AI600" s="183"/>
      <c r="AJ600" s="183"/>
      <c r="AK600" s="183"/>
      <c r="AL600" s="183"/>
      <c r="AM600" s="183"/>
      <c r="AN600" s="183"/>
    </row>
    <row r="601" spans="1:40" ht="13" customHeight="1">
      <c r="A601" s="183"/>
      <c r="B601" s="183"/>
      <c r="C601" s="183"/>
      <c r="D601" s="183"/>
      <c r="E601" s="183"/>
      <c r="F601" s="183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  <c r="AA601" s="183"/>
      <c r="AB601" s="183"/>
      <c r="AC601" s="183"/>
      <c r="AD601" s="183"/>
      <c r="AE601" s="183"/>
      <c r="AF601" s="183"/>
      <c r="AG601" s="183"/>
      <c r="AH601" s="183"/>
      <c r="AI601" s="183"/>
      <c r="AJ601" s="183"/>
      <c r="AK601" s="183"/>
      <c r="AL601" s="183"/>
      <c r="AM601" s="183"/>
      <c r="AN601" s="183"/>
    </row>
    <row r="602" spans="1:40" ht="13" customHeight="1">
      <c r="A602" s="183"/>
      <c r="B602" s="183"/>
      <c r="C602" s="183"/>
      <c r="D602" s="183"/>
      <c r="E602" s="183"/>
      <c r="F602" s="183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  <c r="AA602" s="183"/>
      <c r="AB602" s="183"/>
      <c r="AC602" s="183"/>
      <c r="AD602" s="183"/>
      <c r="AE602" s="183"/>
      <c r="AF602" s="183"/>
      <c r="AG602" s="183"/>
      <c r="AH602" s="183"/>
      <c r="AI602" s="183"/>
      <c r="AJ602" s="183"/>
      <c r="AK602" s="183"/>
      <c r="AL602" s="183"/>
      <c r="AM602" s="183"/>
      <c r="AN602" s="183"/>
    </row>
    <row r="603" spans="1:40" ht="13" customHeight="1">
      <c r="A603" s="183"/>
      <c r="B603" s="183"/>
      <c r="C603" s="183"/>
      <c r="D603" s="183"/>
      <c r="E603" s="183"/>
      <c r="F603" s="183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  <c r="AA603" s="183"/>
      <c r="AB603" s="183"/>
      <c r="AC603" s="183"/>
      <c r="AD603" s="183"/>
      <c r="AE603" s="183"/>
      <c r="AF603" s="183"/>
      <c r="AG603" s="183"/>
      <c r="AH603" s="183"/>
      <c r="AI603" s="183"/>
      <c r="AJ603" s="183"/>
      <c r="AK603" s="183"/>
      <c r="AL603" s="183"/>
      <c r="AM603" s="183"/>
      <c r="AN603" s="183"/>
    </row>
    <row r="604" spans="1:40" ht="13" customHeight="1">
      <c r="A604" s="183"/>
      <c r="B604" s="183"/>
      <c r="C604" s="183"/>
      <c r="D604" s="183"/>
      <c r="E604" s="183"/>
      <c r="F604" s="183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  <c r="AA604" s="183"/>
      <c r="AB604" s="183"/>
      <c r="AC604" s="183"/>
      <c r="AD604" s="183"/>
      <c r="AE604" s="183"/>
      <c r="AF604" s="183"/>
      <c r="AG604" s="183"/>
      <c r="AH604" s="183"/>
      <c r="AI604" s="183"/>
      <c r="AJ604" s="183"/>
      <c r="AK604" s="183"/>
      <c r="AL604" s="183"/>
      <c r="AM604" s="183"/>
      <c r="AN604" s="183"/>
    </row>
    <row r="605" spans="1:40" ht="13" customHeight="1">
      <c r="A605" s="183"/>
      <c r="B605" s="183"/>
      <c r="C605" s="183"/>
      <c r="D605" s="183"/>
      <c r="E605" s="183"/>
      <c r="F605" s="183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  <c r="AA605" s="183"/>
      <c r="AB605" s="183"/>
      <c r="AC605" s="183"/>
      <c r="AD605" s="183"/>
      <c r="AE605" s="183"/>
      <c r="AF605" s="183"/>
      <c r="AG605" s="183"/>
      <c r="AH605" s="183"/>
      <c r="AI605" s="183"/>
      <c r="AJ605" s="183"/>
      <c r="AK605" s="183"/>
      <c r="AL605" s="183"/>
      <c r="AM605" s="183"/>
      <c r="AN605" s="183"/>
    </row>
    <row r="606" spans="1:40" ht="13" customHeight="1">
      <c r="A606" s="183"/>
      <c r="B606" s="183"/>
      <c r="C606" s="183"/>
      <c r="D606" s="183"/>
      <c r="E606" s="183"/>
      <c r="F606" s="183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  <c r="AA606" s="183"/>
      <c r="AB606" s="183"/>
      <c r="AC606" s="183"/>
      <c r="AD606" s="183"/>
      <c r="AE606" s="183"/>
      <c r="AF606" s="183"/>
      <c r="AG606" s="183"/>
      <c r="AH606" s="183"/>
      <c r="AI606" s="183"/>
      <c r="AJ606" s="183"/>
      <c r="AK606" s="183"/>
      <c r="AL606" s="183"/>
      <c r="AM606" s="183"/>
      <c r="AN606" s="183"/>
    </row>
    <row r="607" spans="1:40" ht="13" customHeight="1">
      <c r="A607" s="183"/>
      <c r="B607" s="183"/>
      <c r="C607" s="183"/>
      <c r="D607" s="183"/>
      <c r="E607" s="183"/>
      <c r="F607" s="183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  <c r="AA607" s="183"/>
      <c r="AB607" s="183"/>
      <c r="AC607" s="183"/>
      <c r="AD607" s="183"/>
      <c r="AE607" s="183"/>
      <c r="AF607" s="183"/>
      <c r="AG607" s="183"/>
      <c r="AH607" s="183"/>
      <c r="AI607" s="183"/>
      <c r="AJ607" s="183"/>
      <c r="AK607" s="183"/>
      <c r="AL607" s="183"/>
      <c r="AM607" s="183"/>
      <c r="AN607" s="183"/>
    </row>
    <row r="608" spans="1:40" ht="13" customHeight="1">
      <c r="A608" s="183"/>
      <c r="B608" s="183"/>
      <c r="C608" s="183"/>
      <c r="D608" s="183"/>
      <c r="E608" s="183"/>
      <c r="F608" s="183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  <c r="AA608" s="183"/>
      <c r="AB608" s="183"/>
      <c r="AC608" s="183"/>
      <c r="AD608" s="183"/>
      <c r="AE608" s="183"/>
      <c r="AF608" s="183"/>
      <c r="AG608" s="183"/>
      <c r="AH608" s="183"/>
      <c r="AI608" s="183"/>
      <c r="AJ608" s="183"/>
      <c r="AK608" s="183"/>
      <c r="AL608" s="183"/>
      <c r="AM608" s="183"/>
      <c r="AN608" s="183"/>
    </row>
    <row r="609" spans="1:40" ht="13" customHeight="1">
      <c r="A609" s="183"/>
      <c r="B609" s="183"/>
      <c r="C609" s="183"/>
      <c r="D609" s="183"/>
      <c r="E609" s="183"/>
      <c r="F609" s="183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  <c r="AA609" s="183"/>
      <c r="AB609" s="183"/>
      <c r="AC609" s="183"/>
      <c r="AD609" s="183"/>
      <c r="AE609" s="183"/>
      <c r="AF609" s="183"/>
      <c r="AG609" s="183"/>
      <c r="AH609" s="183"/>
      <c r="AI609" s="183"/>
      <c r="AJ609" s="183"/>
      <c r="AK609" s="183"/>
      <c r="AL609" s="183"/>
      <c r="AM609" s="183"/>
      <c r="AN609" s="183"/>
    </row>
    <row r="610" spans="1:40" ht="13" customHeight="1">
      <c r="A610" s="183"/>
      <c r="B610" s="183"/>
      <c r="C610" s="183"/>
      <c r="D610" s="183"/>
      <c r="E610" s="183"/>
      <c r="F610" s="183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  <c r="AA610" s="183"/>
      <c r="AB610" s="183"/>
      <c r="AC610" s="183"/>
      <c r="AD610" s="183"/>
      <c r="AE610" s="183"/>
      <c r="AF610" s="183"/>
      <c r="AG610" s="183"/>
      <c r="AH610" s="183"/>
      <c r="AI610" s="183"/>
      <c r="AJ610" s="183"/>
      <c r="AK610" s="183"/>
      <c r="AL610" s="183"/>
      <c r="AM610" s="183"/>
      <c r="AN610" s="183"/>
    </row>
    <row r="611" spans="1:40" ht="13" customHeight="1">
      <c r="A611" s="183"/>
      <c r="B611" s="183"/>
      <c r="C611" s="183"/>
      <c r="D611" s="183"/>
      <c r="E611" s="183"/>
      <c r="F611" s="183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  <c r="AA611" s="183"/>
      <c r="AB611" s="183"/>
      <c r="AC611" s="183"/>
      <c r="AD611" s="183"/>
      <c r="AE611" s="183"/>
      <c r="AF611" s="183"/>
      <c r="AG611" s="183"/>
      <c r="AH611" s="183"/>
      <c r="AI611" s="183"/>
      <c r="AJ611" s="183"/>
      <c r="AK611" s="183"/>
      <c r="AL611" s="183"/>
      <c r="AM611" s="183"/>
      <c r="AN611" s="183"/>
    </row>
    <row r="612" spans="1:40" ht="13" customHeight="1">
      <c r="A612" s="183"/>
      <c r="B612" s="183"/>
      <c r="C612" s="183"/>
      <c r="D612" s="183"/>
      <c r="E612" s="183"/>
      <c r="F612" s="183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  <c r="AA612" s="183"/>
      <c r="AB612" s="183"/>
      <c r="AC612" s="183"/>
      <c r="AD612" s="183"/>
      <c r="AE612" s="183"/>
      <c r="AF612" s="183"/>
      <c r="AG612" s="183"/>
      <c r="AH612" s="183"/>
      <c r="AI612" s="183"/>
      <c r="AJ612" s="183"/>
      <c r="AK612" s="183"/>
      <c r="AL612" s="183"/>
      <c r="AM612" s="183"/>
      <c r="AN612" s="183"/>
    </row>
    <row r="613" spans="1:40" ht="13" customHeight="1">
      <c r="A613" s="183"/>
      <c r="B613" s="183"/>
      <c r="C613" s="183"/>
      <c r="D613" s="183"/>
      <c r="E613" s="183"/>
      <c r="F613" s="183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  <c r="AA613" s="183"/>
      <c r="AB613" s="183"/>
      <c r="AC613" s="183"/>
      <c r="AD613" s="183"/>
      <c r="AE613" s="183"/>
      <c r="AF613" s="183"/>
      <c r="AG613" s="183"/>
      <c r="AH613" s="183"/>
      <c r="AI613" s="183"/>
      <c r="AJ613" s="183"/>
      <c r="AK613" s="183"/>
      <c r="AL613" s="183"/>
      <c r="AM613" s="183"/>
      <c r="AN613" s="183"/>
    </row>
    <row r="614" spans="1:40" ht="13" customHeight="1">
      <c r="A614" s="183"/>
      <c r="B614" s="183"/>
      <c r="C614" s="183"/>
      <c r="D614" s="183"/>
      <c r="E614" s="183"/>
      <c r="F614" s="183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  <c r="AA614" s="183"/>
      <c r="AB614" s="183"/>
      <c r="AC614" s="183"/>
      <c r="AD614" s="183"/>
      <c r="AE614" s="183"/>
      <c r="AF614" s="183"/>
      <c r="AG614" s="183"/>
      <c r="AH614" s="183"/>
      <c r="AI614" s="183"/>
      <c r="AJ614" s="183"/>
      <c r="AK614" s="183"/>
      <c r="AL614" s="183"/>
      <c r="AM614" s="183"/>
      <c r="AN614" s="183"/>
    </row>
    <row r="615" spans="1:40" ht="13" customHeight="1">
      <c r="A615" s="183"/>
      <c r="B615" s="183"/>
      <c r="C615" s="183"/>
      <c r="D615" s="183"/>
      <c r="E615" s="183"/>
      <c r="F615" s="183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  <c r="AA615" s="183"/>
      <c r="AB615" s="183"/>
      <c r="AC615" s="183"/>
      <c r="AD615" s="183"/>
      <c r="AE615" s="183"/>
      <c r="AF615" s="183"/>
      <c r="AG615" s="183"/>
      <c r="AH615" s="183"/>
      <c r="AI615" s="183"/>
      <c r="AJ615" s="183"/>
      <c r="AK615" s="183"/>
      <c r="AL615" s="183"/>
      <c r="AM615" s="183"/>
      <c r="AN615" s="183"/>
    </row>
    <row r="616" spans="1:40" ht="13" customHeight="1">
      <c r="A616" s="183"/>
      <c r="B616" s="183"/>
      <c r="C616" s="183"/>
      <c r="D616" s="183"/>
      <c r="E616" s="183"/>
      <c r="F616" s="183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  <c r="AA616" s="183"/>
      <c r="AB616" s="183"/>
      <c r="AC616" s="183"/>
      <c r="AD616" s="183"/>
      <c r="AE616" s="183"/>
      <c r="AF616" s="183"/>
      <c r="AG616" s="183"/>
      <c r="AH616" s="183"/>
      <c r="AI616" s="183"/>
      <c r="AJ616" s="183"/>
      <c r="AK616" s="183"/>
      <c r="AL616" s="183"/>
      <c r="AM616" s="183"/>
      <c r="AN616" s="183"/>
    </row>
    <row r="617" spans="1:40" ht="13" customHeight="1">
      <c r="A617" s="183"/>
      <c r="B617" s="183"/>
      <c r="C617" s="183"/>
      <c r="D617" s="183"/>
      <c r="E617" s="183"/>
      <c r="F617" s="183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  <c r="AA617" s="183"/>
      <c r="AB617" s="183"/>
      <c r="AC617" s="183"/>
      <c r="AD617" s="183"/>
      <c r="AE617" s="183"/>
      <c r="AF617" s="183"/>
      <c r="AG617" s="183"/>
      <c r="AH617" s="183"/>
      <c r="AI617" s="183"/>
      <c r="AJ617" s="183"/>
      <c r="AK617" s="183"/>
      <c r="AL617" s="183"/>
      <c r="AM617" s="183"/>
      <c r="AN617" s="183"/>
    </row>
    <row r="618" spans="1:40" ht="13" customHeight="1">
      <c r="A618" s="183"/>
      <c r="B618" s="183"/>
      <c r="C618" s="183"/>
      <c r="D618" s="183"/>
      <c r="E618" s="183"/>
      <c r="F618" s="183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  <c r="AA618" s="183"/>
      <c r="AB618" s="183"/>
      <c r="AC618" s="183"/>
      <c r="AD618" s="183"/>
      <c r="AE618" s="183"/>
      <c r="AF618" s="183"/>
      <c r="AG618" s="183"/>
      <c r="AH618" s="183"/>
      <c r="AI618" s="183"/>
      <c r="AJ618" s="183"/>
      <c r="AK618" s="183"/>
      <c r="AL618" s="183"/>
      <c r="AM618" s="183"/>
      <c r="AN618" s="183"/>
    </row>
    <row r="619" spans="1:40" ht="13" customHeight="1">
      <c r="A619" s="183"/>
      <c r="B619" s="183"/>
      <c r="C619" s="183"/>
      <c r="D619" s="183"/>
      <c r="E619" s="183"/>
      <c r="F619" s="183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  <c r="AA619" s="183"/>
      <c r="AB619" s="183"/>
      <c r="AC619" s="183"/>
      <c r="AD619" s="183"/>
      <c r="AE619" s="183"/>
      <c r="AF619" s="183"/>
      <c r="AG619" s="183"/>
      <c r="AH619" s="183"/>
      <c r="AI619" s="183"/>
      <c r="AJ619" s="183"/>
      <c r="AK619" s="183"/>
      <c r="AL619" s="183"/>
      <c r="AM619" s="183"/>
      <c r="AN619" s="183"/>
    </row>
    <row r="620" spans="1:40" ht="13" customHeight="1">
      <c r="A620" s="183"/>
      <c r="B620" s="183"/>
      <c r="C620" s="183"/>
      <c r="D620" s="183"/>
      <c r="E620" s="183"/>
      <c r="F620" s="183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  <c r="AA620" s="183"/>
      <c r="AB620" s="183"/>
      <c r="AC620" s="183"/>
      <c r="AD620" s="183"/>
      <c r="AE620" s="183"/>
      <c r="AF620" s="183"/>
      <c r="AG620" s="183"/>
      <c r="AH620" s="183"/>
      <c r="AI620" s="183"/>
      <c r="AJ620" s="183"/>
      <c r="AK620" s="183"/>
      <c r="AL620" s="183"/>
      <c r="AM620" s="183"/>
      <c r="AN620" s="183"/>
    </row>
    <row r="621" spans="1:40" ht="13" customHeight="1">
      <c r="A621" s="183"/>
      <c r="B621" s="183"/>
      <c r="C621" s="183"/>
      <c r="D621" s="183"/>
      <c r="E621" s="183"/>
      <c r="F621" s="183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  <c r="AA621" s="183"/>
      <c r="AB621" s="183"/>
      <c r="AC621" s="183"/>
      <c r="AD621" s="183"/>
      <c r="AE621" s="183"/>
      <c r="AF621" s="183"/>
      <c r="AG621" s="183"/>
      <c r="AH621" s="183"/>
      <c r="AI621" s="183"/>
      <c r="AJ621" s="183"/>
      <c r="AK621" s="183"/>
      <c r="AL621" s="183"/>
      <c r="AM621" s="183"/>
      <c r="AN621" s="183"/>
    </row>
    <row r="622" spans="1:40" ht="13" customHeight="1">
      <c r="A622" s="183"/>
      <c r="B622" s="183"/>
      <c r="C622" s="183"/>
      <c r="D622" s="183"/>
      <c r="E622" s="183"/>
      <c r="F622" s="183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  <c r="AA622" s="183"/>
      <c r="AB622" s="183"/>
      <c r="AC622" s="183"/>
      <c r="AD622" s="183"/>
      <c r="AE622" s="183"/>
      <c r="AF622" s="183"/>
      <c r="AG622" s="183"/>
      <c r="AH622" s="183"/>
      <c r="AI622" s="183"/>
      <c r="AJ622" s="183"/>
      <c r="AK622" s="183"/>
      <c r="AL622" s="183"/>
      <c r="AM622" s="183"/>
      <c r="AN622" s="183"/>
    </row>
    <row r="623" spans="1:40" ht="13" customHeight="1">
      <c r="A623" s="183"/>
      <c r="B623" s="183"/>
      <c r="C623" s="183"/>
      <c r="D623" s="183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  <c r="AA623" s="183"/>
      <c r="AB623" s="183"/>
      <c r="AC623" s="183"/>
      <c r="AD623" s="183"/>
      <c r="AE623" s="183"/>
      <c r="AF623" s="183"/>
      <c r="AG623" s="183"/>
      <c r="AH623" s="183"/>
      <c r="AI623" s="183"/>
      <c r="AJ623" s="183"/>
      <c r="AK623" s="183"/>
      <c r="AL623" s="183"/>
      <c r="AM623" s="183"/>
      <c r="AN623" s="183"/>
    </row>
    <row r="624" spans="1:40" ht="13" customHeight="1">
      <c r="A624" s="183"/>
      <c r="B624" s="183"/>
      <c r="C624" s="183"/>
      <c r="D624" s="183"/>
      <c r="E624" s="183"/>
      <c r="F624" s="183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  <c r="AA624" s="183"/>
      <c r="AB624" s="183"/>
      <c r="AC624" s="183"/>
      <c r="AD624" s="183"/>
      <c r="AE624" s="183"/>
      <c r="AF624" s="183"/>
      <c r="AG624" s="183"/>
      <c r="AH624" s="183"/>
      <c r="AI624" s="183"/>
      <c r="AJ624" s="183"/>
      <c r="AK624" s="183"/>
      <c r="AL624" s="183"/>
      <c r="AM624" s="183"/>
      <c r="AN624" s="183"/>
    </row>
    <row r="625" spans="1:40" ht="13" customHeight="1">
      <c r="A625" s="183"/>
      <c r="B625" s="183"/>
      <c r="C625" s="183"/>
      <c r="D625" s="183"/>
      <c r="E625" s="183"/>
      <c r="F625" s="183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  <c r="AA625" s="183"/>
      <c r="AB625" s="183"/>
      <c r="AC625" s="183"/>
      <c r="AD625" s="183"/>
      <c r="AE625" s="183"/>
      <c r="AF625" s="183"/>
      <c r="AG625" s="183"/>
      <c r="AH625" s="183"/>
      <c r="AI625" s="183"/>
      <c r="AJ625" s="183"/>
      <c r="AK625" s="183"/>
      <c r="AL625" s="183"/>
      <c r="AM625" s="183"/>
      <c r="AN625" s="183"/>
    </row>
    <row r="626" spans="1:40" ht="13" customHeight="1">
      <c r="A626" s="183"/>
      <c r="B626" s="183"/>
      <c r="C626" s="183"/>
      <c r="D626" s="183"/>
      <c r="E626" s="183"/>
      <c r="F626" s="183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  <c r="AA626" s="183"/>
      <c r="AB626" s="183"/>
      <c r="AC626" s="183"/>
      <c r="AD626" s="183"/>
      <c r="AE626" s="183"/>
      <c r="AF626" s="183"/>
      <c r="AG626" s="183"/>
      <c r="AH626" s="183"/>
      <c r="AI626" s="183"/>
      <c r="AJ626" s="183"/>
      <c r="AK626" s="183"/>
      <c r="AL626" s="183"/>
      <c r="AM626" s="183"/>
      <c r="AN626" s="183"/>
    </row>
    <row r="627" spans="1:40" ht="13" customHeight="1">
      <c r="A627" s="183"/>
      <c r="B627" s="183"/>
      <c r="C627" s="183"/>
      <c r="D627" s="183"/>
      <c r="E627" s="183"/>
      <c r="F627" s="183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  <c r="AA627" s="183"/>
      <c r="AB627" s="183"/>
      <c r="AC627" s="183"/>
      <c r="AD627" s="183"/>
      <c r="AE627" s="183"/>
      <c r="AF627" s="183"/>
      <c r="AG627" s="183"/>
      <c r="AH627" s="183"/>
      <c r="AI627" s="183"/>
      <c r="AJ627" s="183"/>
      <c r="AK627" s="183"/>
      <c r="AL627" s="183"/>
      <c r="AM627" s="183"/>
      <c r="AN627" s="183"/>
    </row>
    <row r="628" spans="1:40" ht="13" customHeight="1">
      <c r="A628" s="183"/>
      <c r="B628" s="183"/>
      <c r="C628" s="183"/>
      <c r="D628" s="183"/>
      <c r="E628" s="183"/>
      <c r="F628" s="183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  <c r="AA628" s="183"/>
      <c r="AB628" s="183"/>
      <c r="AC628" s="183"/>
      <c r="AD628" s="183"/>
      <c r="AE628" s="183"/>
      <c r="AF628" s="183"/>
      <c r="AG628" s="183"/>
      <c r="AH628" s="183"/>
      <c r="AI628" s="183"/>
      <c r="AJ628" s="183"/>
      <c r="AK628" s="183"/>
      <c r="AL628" s="183"/>
      <c r="AM628" s="183"/>
      <c r="AN628" s="183"/>
    </row>
    <row r="629" spans="1:40" ht="13" customHeight="1">
      <c r="A629" s="183"/>
      <c r="B629" s="183"/>
      <c r="C629" s="183"/>
      <c r="D629" s="183"/>
      <c r="E629" s="183"/>
      <c r="F629" s="183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  <c r="AA629" s="183"/>
      <c r="AB629" s="183"/>
      <c r="AC629" s="183"/>
      <c r="AD629" s="183"/>
      <c r="AE629" s="183"/>
      <c r="AF629" s="183"/>
      <c r="AG629" s="183"/>
      <c r="AH629" s="183"/>
      <c r="AI629" s="183"/>
      <c r="AJ629" s="183"/>
      <c r="AK629" s="183"/>
      <c r="AL629" s="183"/>
      <c r="AM629" s="183"/>
      <c r="AN629" s="183"/>
    </row>
    <row r="630" spans="1:40" ht="13" customHeight="1">
      <c r="A630" s="183"/>
      <c r="B630" s="183"/>
      <c r="C630" s="183"/>
      <c r="D630" s="183"/>
      <c r="E630" s="183"/>
      <c r="F630" s="183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  <c r="AA630" s="183"/>
      <c r="AB630" s="183"/>
      <c r="AC630" s="183"/>
      <c r="AD630" s="183"/>
      <c r="AE630" s="183"/>
      <c r="AF630" s="183"/>
      <c r="AG630" s="183"/>
      <c r="AH630" s="183"/>
      <c r="AI630" s="183"/>
      <c r="AJ630" s="183"/>
      <c r="AK630" s="183"/>
      <c r="AL630" s="183"/>
      <c r="AM630" s="183"/>
      <c r="AN630" s="183"/>
    </row>
    <row r="631" spans="1:40" ht="13" customHeight="1">
      <c r="A631" s="183"/>
      <c r="B631" s="183"/>
      <c r="C631" s="183"/>
      <c r="D631" s="183"/>
      <c r="E631" s="183"/>
      <c r="F631" s="183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  <c r="AA631" s="183"/>
      <c r="AB631" s="183"/>
      <c r="AC631" s="183"/>
      <c r="AD631" s="183"/>
      <c r="AE631" s="183"/>
      <c r="AF631" s="183"/>
      <c r="AG631" s="183"/>
      <c r="AH631" s="183"/>
      <c r="AI631" s="183"/>
      <c r="AJ631" s="183"/>
      <c r="AK631" s="183"/>
      <c r="AL631" s="183"/>
      <c r="AM631" s="183"/>
      <c r="AN631" s="183"/>
    </row>
    <row r="632" spans="1:40" ht="13" customHeight="1">
      <c r="A632" s="183"/>
      <c r="B632" s="183"/>
      <c r="C632" s="183"/>
      <c r="D632" s="183"/>
      <c r="E632" s="183"/>
      <c r="F632" s="183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  <c r="AA632" s="183"/>
      <c r="AB632" s="183"/>
      <c r="AC632" s="183"/>
      <c r="AD632" s="183"/>
      <c r="AE632" s="183"/>
      <c r="AF632" s="183"/>
      <c r="AG632" s="183"/>
      <c r="AH632" s="183"/>
      <c r="AI632" s="183"/>
      <c r="AJ632" s="183"/>
      <c r="AK632" s="183"/>
      <c r="AL632" s="183"/>
      <c r="AM632" s="183"/>
      <c r="AN632" s="183"/>
    </row>
    <row r="633" spans="1:40" ht="13" customHeight="1">
      <c r="A633" s="183"/>
      <c r="B633" s="183"/>
      <c r="C633" s="183"/>
      <c r="D633" s="183"/>
      <c r="E633" s="183"/>
      <c r="F633" s="183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  <c r="AA633" s="183"/>
      <c r="AB633" s="183"/>
      <c r="AC633" s="183"/>
      <c r="AD633" s="183"/>
      <c r="AE633" s="183"/>
      <c r="AF633" s="183"/>
      <c r="AG633" s="183"/>
      <c r="AH633" s="183"/>
      <c r="AI633" s="183"/>
      <c r="AJ633" s="183"/>
      <c r="AK633" s="183"/>
      <c r="AL633" s="183"/>
      <c r="AM633" s="183"/>
      <c r="AN633" s="183"/>
    </row>
    <row r="634" spans="1:40" ht="13" customHeight="1">
      <c r="A634" s="183"/>
      <c r="B634" s="183"/>
      <c r="C634" s="183"/>
      <c r="D634" s="183"/>
      <c r="E634" s="183"/>
      <c r="F634" s="183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  <c r="AA634" s="183"/>
      <c r="AB634" s="183"/>
      <c r="AC634" s="183"/>
      <c r="AD634" s="183"/>
      <c r="AE634" s="183"/>
      <c r="AF634" s="183"/>
      <c r="AG634" s="183"/>
      <c r="AH634" s="183"/>
      <c r="AI634" s="183"/>
      <c r="AJ634" s="183"/>
      <c r="AK634" s="183"/>
      <c r="AL634" s="183"/>
      <c r="AM634" s="183"/>
      <c r="AN634" s="183"/>
    </row>
    <row r="635" spans="1:40" ht="13" customHeight="1">
      <c r="A635" s="183"/>
      <c r="B635" s="183"/>
      <c r="C635" s="183"/>
      <c r="D635" s="183"/>
      <c r="E635" s="183"/>
      <c r="F635" s="183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  <c r="AA635" s="183"/>
      <c r="AB635" s="183"/>
      <c r="AC635" s="183"/>
      <c r="AD635" s="183"/>
      <c r="AE635" s="183"/>
      <c r="AF635" s="183"/>
      <c r="AG635" s="183"/>
      <c r="AH635" s="183"/>
      <c r="AI635" s="183"/>
      <c r="AJ635" s="183"/>
      <c r="AK635" s="183"/>
      <c r="AL635" s="183"/>
      <c r="AM635" s="183"/>
      <c r="AN635" s="183"/>
    </row>
    <row r="636" spans="1:40" ht="13" customHeight="1">
      <c r="A636" s="183"/>
      <c r="B636" s="183"/>
      <c r="C636" s="183"/>
      <c r="D636" s="183"/>
      <c r="E636" s="183"/>
      <c r="F636" s="183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  <c r="AA636" s="183"/>
      <c r="AB636" s="183"/>
      <c r="AC636" s="183"/>
      <c r="AD636" s="183"/>
      <c r="AE636" s="183"/>
      <c r="AF636" s="183"/>
      <c r="AG636" s="183"/>
      <c r="AH636" s="183"/>
      <c r="AI636" s="183"/>
      <c r="AJ636" s="183"/>
      <c r="AK636" s="183"/>
      <c r="AL636" s="183"/>
      <c r="AM636" s="183"/>
      <c r="AN636" s="183"/>
    </row>
    <row r="637" spans="1:40" ht="13" customHeight="1">
      <c r="A637" s="183"/>
      <c r="B637" s="183"/>
      <c r="C637" s="183"/>
      <c r="D637" s="183"/>
      <c r="E637" s="183"/>
      <c r="F637" s="183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  <c r="AA637" s="183"/>
      <c r="AB637" s="183"/>
      <c r="AC637" s="183"/>
      <c r="AD637" s="183"/>
      <c r="AE637" s="183"/>
      <c r="AF637" s="183"/>
      <c r="AG637" s="183"/>
      <c r="AH637" s="183"/>
      <c r="AI637" s="183"/>
      <c r="AJ637" s="183"/>
      <c r="AK637" s="183"/>
      <c r="AL637" s="183"/>
      <c r="AM637" s="183"/>
      <c r="AN637" s="183"/>
    </row>
    <row r="638" spans="1:40" ht="13" customHeight="1">
      <c r="A638" s="183"/>
      <c r="B638" s="183"/>
      <c r="C638" s="183"/>
      <c r="D638" s="183"/>
      <c r="E638" s="183"/>
      <c r="F638" s="183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  <c r="AA638" s="183"/>
      <c r="AB638" s="183"/>
      <c r="AC638" s="183"/>
      <c r="AD638" s="183"/>
      <c r="AE638" s="183"/>
      <c r="AF638" s="183"/>
      <c r="AG638" s="183"/>
      <c r="AH638" s="183"/>
      <c r="AI638" s="183"/>
      <c r="AJ638" s="183"/>
      <c r="AK638" s="183"/>
      <c r="AL638" s="183"/>
      <c r="AM638" s="183"/>
      <c r="AN638" s="183"/>
    </row>
    <row r="639" spans="1:40" ht="13" customHeight="1">
      <c r="A639" s="183"/>
      <c r="B639" s="183"/>
      <c r="C639" s="183"/>
      <c r="D639" s="183"/>
      <c r="E639" s="183"/>
      <c r="F639" s="183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  <c r="AA639" s="183"/>
      <c r="AB639" s="183"/>
      <c r="AC639" s="183"/>
      <c r="AD639" s="183"/>
      <c r="AE639" s="183"/>
      <c r="AF639" s="183"/>
      <c r="AG639" s="183"/>
      <c r="AH639" s="183"/>
      <c r="AI639" s="183"/>
      <c r="AJ639" s="183"/>
      <c r="AK639" s="183"/>
      <c r="AL639" s="183"/>
      <c r="AM639" s="183"/>
      <c r="AN639" s="183"/>
    </row>
    <row r="640" spans="1:40" ht="13" customHeight="1">
      <c r="A640" s="183"/>
      <c r="B640" s="183"/>
      <c r="C640" s="183"/>
      <c r="D640" s="183"/>
      <c r="E640" s="183"/>
      <c r="F640" s="183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  <c r="AA640" s="183"/>
      <c r="AB640" s="183"/>
      <c r="AC640" s="183"/>
      <c r="AD640" s="183"/>
      <c r="AE640" s="183"/>
      <c r="AF640" s="183"/>
      <c r="AG640" s="183"/>
      <c r="AH640" s="183"/>
      <c r="AI640" s="183"/>
      <c r="AJ640" s="183"/>
      <c r="AK640" s="183"/>
      <c r="AL640" s="183"/>
      <c r="AM640" s="183"/>
      <c r="AN640" s="183"/>
    </row>
    <row r="641" spans="1:40" ht="13" customHeight="1">
      <c r="A641" s="183"/>
      <c r="B641" s="183"/>
      <c r="C641" s="183"/>
      <c r="D641" s="183"/>
      <c r="E641" s="183"/>
      <c r="F641" s="183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  <c r="AA641" s="183"/>
      <c r="AB641" s="183"/>
      <c r="AC641" s="183"/>
      <c r="AD641" s="183"/>
      <c r="AE641" s="183"/>
      <c r="AF641" s="183"/>
      <c r="AG641" s="183"/>
      <c r="AH641" s="183"/>
      <c r="AI641" s="183"/>
      <c r="AJ641" s="183"/>
      <c r="AK641" s="183"/>
      <c r="AL641" s="183"/>
      <c r="AM641" s="183"/>
      <c r="AN641" s="183"/>
    </row>
    <row r="642" spans="1:40" ht="13" customHeight="1">
      <c r="A642" s="183"/>
      <c r="B642" s="183"/>
      <c r="C642" s="183"/>
      <c r="D642" s="183"/>
      <c r="E642" s="183"/>
      <c r="F642" s="183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  <c r="AA642" s="183"/>
      <c r="AB642" s="183"/>
      <c r="AC642" s="183"/>
      <c r="AD642" s="183"/>
      <c r="AE642" s="183"/>
      <c r="AF642" s="183"/>
      <c r="AG642" s="183"/>
      <c r="AH642" s="183"/>
      <c r="AI642" s="183"/>
      <c r="AJ642" s="183"/>
      <c r="AK642" s="183"/>
      <c r="AL642" s="183"/>
      <c r="AM642" s="183"/>
      <c r="AN642" s="183"/>
    </row>
    <row r="643" spans="1:40" ht="13" customHeight="1">
      <c r="A643" s="183"/>
      <c r="B643" s="183"/>
      <c r="C643" s="183"/>
      <c r="D643" s="183"/>
      <c r="E643" s="183"/>
      <c r="F643" s="183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  <c r="AA643" s="183"/>
      <c r="AB643" s="183"/>
      <c r="AC643" s="183"/>
      <c r="AD643" s="183"/>
      <c r="AE643" s="183"/>
      <c r="AF643" s="183"/>
      <c r="AG643" s="183"/>
      <c r="AH643" s="183"/>
      <c r="AI643" s="183"/>
      <c r="AJ643" s="183"/>
      <c r="AK643" s="183"/>
      <c r="AL643" s="183"/>
      <c r="AM643" s="183"/>
      <c r="AN643" s="183"/>
    </row>
    <row r="644" spans="1:40" ht="13" customHeight="1">
      <c r="A644" s="183"/>
      <c r="B644" s="183"/>
      <c r="C644" s="183"/>
      <c r="D644" s="183"/>
      <c r="E644" s="183"/>
      <c r="F644" s="183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  <c r="AA644" s="183"/>
      <c r="AB644" s="183"/>
      <c r="AC644" s="183"/>
      <c r="AD644" s="183"/>
      <c r="AE644" s="183"/>
      <c r="AF644" s="183"/>
      <c r="AG644" s="183"/>
      <c r="AH644" s="183"/>
      <c r="AI644" s="183"/>
      <c r="AJ644" s="183"/>
      <c r="AK644" s="183"/>
      <c r="AL644" s="183"/>
      <c r="AM644" s="183"/>
      <c r="AN644" s="183"/>
    </row>
    <row r="645" spans="1:40" ht="13" customHeight="1">
      <c r="A645" s="183"/>
      <c r="B645" s="183"/>
      <c r="C645" s="183"/>
      <c r="D645" s="183"/>
      <c r="E645" s="183"/>
      <c r="F645" s="183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  <c r="AA645" s="183"/>
      <c r="AB645" s="183"/>
      <c r="AC645" s="183"/>
      <c r="AD645" s="183"/>
      <c r="AE645" s="183"/>
      <c r="AF645" s="183"/>
      <c r="AG645" s="183"/>
      <c r="AH645" s="183"/>
      <c r="AI645" s="183"/>
      <c r="AJ645" s="183"/>
      <c r="AK645" s="183"/>
      <c r="AL645" s="183"/>
      <c r="AM645" s="183"/>
      <c r="AN645" s="183"/>
    </row>
    <row r="646" spans="1:40" ht="13" customHeight="1">
      <c r="A646" s="183"/>
      <c r="B646" s="183"/>
      <c r="C646" s="183"/>
      <c r="D646" s="183"/>
      <c r="E646" s="183"/>
      <c r="F646" s="183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  <c r="AA646" s="183"/>
      <c r="AB646" s="183"/>
      <c r="AC646" s="183"/>
      <c r="AD646" s="183"/>
      <c r="AE646" s="183"/>
      <c r="AF646" s="183"/>
      <c r="AG646" s="183"/>
      <c r="AH646" s="183"/>
      <c r="AI646" s="183"/>
      <c r="AJ646" s="183"/>
      <c r="AK646" s="183"/>
      <c r="AL646" s="183"/>
      <c r="AM646" s="183"/>
      <c r="AN646" s="183"/>
    </row>
    <row r="647" spans="1:40" ht="13" customHeight="1">
      <c r="A647" s="183"/>
      <c r="B647" s="183"/>
      <c r="C647" s="183"/>
      <c r="D647" s="183"/>
      <c r="E647" s="183"/>
      <c r="F647" s="183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  <c r="AA647" s="183"/>
      <c r="AB647" s="183"/>
      <c r="AC647" s="183"/>
      <c r="AD647" s="183"/>
      <c r="AE647" s="183"/>
      <c r="AF647" s="183"/>
      <c r="AG647" s="183"/>
      <c r="AH647" s="183"/>
      <c r="AI647" s="183"/>
      <c r="AJ647" s="183"/>
      <c r="AK647" s="183"/>
      <c r="AL647" s="183"/>
      <c r="AM647" s="183"/>
      <c r="AN647" s="183"/>
    </row>
    <row r="648" spans="1:40" ht="13" customHeight="1">
      <c r="A648" s="183"/>
      <c r="B648" s="183"/>
      <c r="C648" s="183"/>
      <c r="D648" s="183"/>
      <c r="E648" s="183"/>
      <c r="F648" s="183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  <c r="AA648" s="183"/>
      <c r="AB648" s="183"/>
      <c r="AC648" s="183"/>
      <c r="AD648" s="183"/>
      <c r="AE648" s="183"/>
      <c r="AF648" s="183"/>
      <c r="AG648" s="183"/>
      <c r="AH648" s="183"/>
      <c r="AI648" s="183"/>
      <c r="AJ648" s="183"/>
      <c r="AK648" s="183"/>
      <c r="AL648" s="183"/>
      <c r="AM648" s="183"/>
      <c r="AN648" s="183"/>
    </row>
    <row r="649" spans="1:40" ht="13" customHeight="1">
      <c r="A649" s="183"/>
      <c r="B649" s="183"/>
      <c r="C649" s="183"/>
      <c r="D649" s="183"/>
      <c r="E649" s="183"/>
      <c r="F649" s="183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  <c r="AA649" s="183"/>
      <c r="AB649" s="183"/>
      <c r="AC649" s="183"/>
      <c r="AD649" s="183"/>
      <c r="AE649" s="183"/>
      <c r="AF649" s="183"/>
      <c r="AG649" s="183"/>
      <c r="AH649" s="183"/>
      <c r="AI649" s="183"/>
      <c r="AJ649" s="183"/>
      <c r="AK649" s="183"/>
      <c r="AL649" s="183"/>
      <c r="AM649" s="183"/>
      <c r="AN649" s="183"/>
    </row>
    <row r="650" spans="1:40" ht="13" customHeight="1">
      <c r="A650" s="183"/>
      <c r="B650" s="183"/>
      <c r="C650" s="183"/>
      <c r="D650" s="183"/>
      <c r="E650" s="183"/>
      <c r="F650" s="183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  <c r="AA650" s="183"/>
      <c r="AB650" s="183"/>
      <c r="AC650" s="183"/>
      <c r="AD650" s="183"/>
      <c r="AE650" s="183"/>
      <c r="AF650" s="183"/>
      <c r="AG650" s="183"/>
      <c r="AH650" s="183"/>
      <c r="AI650" s="183"/>
      <c r="AJ650" s="183"/>
      <c r="AK650" s="183"/>
      <c r="AL650" s="183"/>
      <c r="AM650" s="183"/>
      <c r="AN650" s="183"/>
    </row>
    <row r="651" spans="1:40" ht="13" customHeight="1">
      <c r="A651" s="183"/>
      <c r="B651" s="183"/>
      <c r="C651" s="183"/>
      <c r="D651" s="183"/>
      <c r="E651" s="183"/>
      <c r="F651" s="183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  <c r="AA651" s="183"/>
      <c r="AB651" s="183"/>
      <c r="AC651" s="183"/>
      <c r="AD651" s="183"/>
      <c r="AE651" s="183"/>
      <c r="AF651" s="183"/>
      <c r="AG651" s="183"/>
      <c r="AH651" s="183"/>
      <c r="AI651" s="183"/>
      <c r="AJ651" s="183"/>
      <c r="AK651" s="183"/>
      <c r="AL651" s="183"/>
      <c r="AM651" s="183"/>
      <c r="AN651" s="183"/>
    </row>
    <row r="652" spans="1:40" ht="13" customHeight="1">
      <c r="A652" s="183"/>
      <c r="B652" s="183"/>
      <c r="C652" s="183"/>
      <c r="D652" s="183"/>
      <c r="E652" s="183"/>
      <c r="F652" s="183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  <c r="AA652" s="183"/>
      <c r="AB652" s="183"/>
      <c r="AC652" s="183"/>
      <c r="AD652" s="183"/>
      <c r="AE652" s="183"/>
      <c r="AF652" s="183"/>
      <c r="AG652" s="183"/>
      <c r="AH652" s="183"/>
      <c r="AI652" s="183"/>
      <c r="AJ652" s="183"/>
      <c r="AK652" s="183"/>
      <c r="AL652" s="183"/>
      <c r="AM652" s="183"/>
      <c r="AN652" s="183"/>
    </row>
    <row r="653" spans="1:40" ht="13" customHeight="1">
      <c r="A653" s="183"/>
      <c r="B653" s="183"/>
      <c r="C653" s="183"/>
      <c r="D653" s="183"/>
      <c r="E653" s="183"/>
      <c r="F653" s="183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  <c r="AA653" s="183"/>
      <c r="AB653" s="183"/>
      <c r="AC653" s="183"/>
      <c r="AD653" s="183"/>
      <c r="AE653" s="183"/>
      <c r="AF653" s="183"/>
      <c r="AG653" s="183"/>
      <c r="AH653" s="183"/>
      <c r="AI653" s="183"/>
      <c r="AJ653" s="183"/>
      <c r="AK653" s="183"/>
      <c r="AL653" s="183"/>
      <c r="AM653" s="183"/>
      <c r="AN653" s="183"/>
    </row>
    <row r="654" spans="1:40" ht="13" customHeight="1">
      <c r="A654" s="183"/>
      <c r="B654" s="183"/>
      <c r="C654" s="183"/>
      <c r="D654" s="183"/>
      <c r="E654" s="183"/>
      <c r="F654" s="183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  <c r="AA654" s="183"/>
      <c r="AB654" s="183"/>
      <c r="AC654" s="183"/>
      <c r="AD654" s="183"/>
      <c r="AE654" s="183"/>
      <c r="AF654" s="183"/>
      <c r="AG654" s="183"/>
      <c r="AH654" s="183"/>
      <c r="AI654" s="183"/>
      <c r="AJ654" s="183"/>
      <c r="AK654" s="183"/>
      <c r="AL654" s="183"/>
      <c r="AM654" s="183"/>
      <c r="AN654" s="183"/>
    </row>
    <row r="655" spans="1:40" ht="13" customHeight="1">
      <c r="A655" s="183"/>
      <c r="B655" s="183"/>
      <c r="C655" s="183"/>
      <c r="D655" s="183"/>
      <c r="E655" s="183"/>
      <c r="F655" s="183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  <c r="AA655" s="183"/>
      <c r="AB655" s="183"/>
      <c r="AC655" s="183"/>
      <c r="AD655" s="183"/>
      <c r="AE655" s="183"/>
      <c r="AF655" s="183"/>
      <c r="AG655" s="183"/>
      <c r="AH655" s="183"/>
      <c r="AI655" s="183"/>
      <c r="AJ655" s="183"/>
      <c r="AK655" s="183"/>
      <c r="AL655" s="183"/>
      <c r="AM655" s="183"/>
      <c r="AN655" s="183"/>
    </row>
    <row r="656" spans="1:40" ht="13" customHeight="1">
      <c r="A656" s="183"/>
      <c r="B656" s="183"/>
      <c r="C656" s="183"/>
      <c r="D656" s="183"/>
      <c r="E656" s="183"/>
      <c r="F656" s="183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  <c r="AA656" s="183"/>
      <c r="AB656" s="183"/>
      <c r="AC656" s="183"/>
      <c r="AD656" s="183"/>
      <c r="AE656" s="183"/>
      <c r="AF656" s="183"/>
      <c r="AG656" s="183"/>
      <c r="AH656" s="183"/>
      <c r="AI656" s="183"/>
      <c r="AJ656" s="183"/>
      <c r="AK656" s="183"/>
      <c r="AL656" s="183"/>
      <c r="AM656" s="183"/>
      <c r="AN656" s="183"/>
    </row>
    <row r="657" spans="1:40" ht="13" customHeight="1">
      <c r="A657" s="183"/>
      <c r="B657" s="183"/>
      <c r="C657" s="183"/>
      <c r="D657" s="183"/>
      <c r="E657" s="183"/>
      <c r="F657" s="183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  <c r="AA657" s="183"/>
      <c r="AB657" s="183"/>
      <c r="AC657" s="183"/>
      <c r="AD657" s="183"/>
      <c r="AE657" s="183"/>
      <c r="AF657" s="183"/>
      <c r="AG657" s="183"/>
      <c r="AH657" s="183"/>
      <c r="AI657" s="183"/>
      <c r="AJ657" s="183"/>
      <c r="AK657" s="183"/>
      <c r="AL657" s="183"/>
      <c r="AM657" s="183"/>
      <c r="AN657" s="183"/>
    </row>
    <row r="658" spans="1:40" ht="13" customHeight="1">
      <c r="A658" s="183"/>
      <c r="B658" s="183"/>
      <c r="C658" s="183"/>
      <c r="D658" s="183"/>
      <c r="E658" s="183"/>
      <c r="F658" s="183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  <c r="AA658" s="183"/>
      <c r="AB658" s="183"/>
      <c r="AC658" s="183"/>
      <c r="AD658" s="183"/>
      <c r="AE658" s="183"/>
      <c r="AF658" s="183"/>
      <c r="AG658" s="183"/>
      <c r="AH658" s="183"/>
      <c r="AI658" s="183"/>
      <c r="AJ658" s="183"/>
      <c r="AK658" s="183"/>
      <c r="AL658" s="183"/>
      <c r="AM658" s="183"/>
      <c r="AN658" s="183"/>
    </row>
    <row r="659" spans="1:40" ht="13" customHeight="1">
      <c r="A659" s="183"/>
      <c r="B659" s="183"/>
      <c r="C659" s="183"/>
      <c r="D659" s="183"/>
      <c r="E659" s="183"/>
      <c r="F659" s="183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  <c r="AA659" s="183"/>
      <c r="AB659" s="183"/>
      <c r="AC659" s="183"/>
      <c r="AD659" s="183"/>
      <c r="AE659" s="183"/>
      <c r="AF659" s="183"/>
      <c r="AG659" s="183"/>
      <c r="AH659" s="183"/>
      <c r="AI659" s="183"/>
      <c r="AJ659" s="183"/>
      <c r="AK659" s="183"/>
      <c r="AL659" s="183"/>
      <c r="AM659" s="183"/>
      <c r="AN659" s="183"/>
    </row>
    <row r="660" spans="1:40" ht="13" customHeight="1">
      <c r="A660" s="183"/>
      <c r="B660" s="183"/>
      <c r="C660" s="183"/>
      <c r="D660" s="183"/>
      <c r="E660" s="183"/>
      <c r="F660" s="183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  <c r="AA660" s="183"/>
      <c r="AB660" s="183"/>
      <c r="AC660" s="183"/>
      <c r="AD660" s="183"/>
      <c r="AE660" s="183"/>
      <c r="AF660" s="183"/>
      <c r="AG660" s="183"/>
      <c r="AH660" s="183"/>
      <c r="AI660" s="183"/>
      <c r="AJ660" s="183"/>
      <c r="AK660" s="183"/>
      <c r="AL660" s="183"/>
      <c r="AM660" s="183"/>
      <c r="AN660" s="183"/>
    </row>
    <row r="661" spans="1:40" ht="13" customHeight="1">
      <c r="A661" s="183"/>
      <c r="B661" s="183"/>
      <c r="C661" s="183"/>
      <c r="D661" s="183"/>
      <c r="E661" s="183"/>
      <c r="F661" s="183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  <c r="AA661" s="183"/>
      <c r="AB661" s="183"/>
      <c r="AC661" s="183"/>
      <c r="AD661" s="183"/>
      <c r="AE661" s="183"/>
      <c r="AF661" s="183"/>
      <c r="AG661" s="183"/>
      <c r="AH661" s="183"/>
      <c r="AI661" s="183"/>
      <c r="AJ661" s="183"/>
      <c r="AK661" s="183"/>
      <c r="AL661" s="183"/>
      <c r="AM661" s="183"/>
      <c r="AN661" s="183"/>
    </row>
    <row r="662" spans="1:40" ht="13" customHeight="1">
      <c r="A662" s="183"/>
      <c r="B662" s="183"/>
      <c r="C662" s="183"/>
      <c r="D662" s="183"/>
      <c r="E662" s="183"/>
      <c r="F662" s="183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  <c r="AA662" s="183"/>
      <c r="AB662" s="183"/>
      <c r="AC662" s="183"/>
      <c r="AD662" s="183"/>
      <c r="AE662" s="183"/>
      <c r="AF662" s="183"/>
      <c r="AG662" s="183"/>
      <c r="AH662" s="183"/>
      <c r="AI662" s="183"/>
      <c r="AJ662" s="183"/>
      <c r="AK662" s="183"/>
      <c r="AL662" s="183"/>
      <c r="AM662" s="183"/>
      <c r="AN662" s="183"/>
    </row>
    <row r="663" spans="1:40" ht="13" customHeight="1">
      <c r="A663" s="183"/>
      <c r="B663" s="183"/>
      <c r="C663" s="183"/>
      <c r="D663" s="183"/>
      <c r="E663" s="183"/>
      <c r="F663" s="183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  <c r="AA663" s="183"/>
      <c r="AB663" s="183"/>
      <c r="AC663" s="183"/>
      <c r="AD663" s="183"/>
      <c r="AE663" s="183"/>
      <c r="AF663" s="183"/>
      <c r="AG663" s="183"/>
      <c r="AH663" s="183"/>
      <c r="AI663" s="183"/>
      <c r="AJ663" s="183"/>
      <c r="AK663" s="183"/>
      <c r="AL663" s="183"/>
      <c r="AM663" s="183"/>
      <c r="AN663" s="183"/>
    </row>
    <row r="664" spans="1:40" ht="13" customHeight="1">
      <c r="A664" s="183"/>
      <c r="B664" s="183"/>
      <c r="C664" s="183"/>
      <c r="D664" s="183"/>
      <c r="E664" s="183"/>
      <c r="F664" s="183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  <c r="AA664" s="183"/>
      <c r="AB664" s="183"/>
      <c r="AC664" s="183"/>
      <c r="AD664" s="183"/>
      <c r="AE664" s="183"/>
      <c r="AF664" s="183"/>
      <c r="AG664" s="183"/>
      <c r="AH664" s="183"/>
      <c r="AI664" s="183"/>
      <c r="AJ664" s="183"/>
      <c r="AK664" s="183"/>
      <c r="AL664" s="183"/>
      <c r="AM664" s="183"/>
      <c r="AN664" s="183"/>
    </row>
    <row r="665" spans="1:40" ht="13" customHeight="1">
      <c r="A665" s="183"/>
      <c r="B665" s="183"/>
      <c r="C665" s="183"/>
      <c r="D665" s="183"/>
      <c r="E665" s="183"/>
      <c r="F665" s="183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  <c r="AA665" s="183"/>
      <c r="AB665" s="183"/>
      <c r="AC665" s="183"/>
      <c r="AD665" s="183"/>
      <c r="AE665" s="183"/>
      <c r="AF665" s="183"/>
      <c r="AG665" s="183"/>
      <c r="AH665" s="183"/>
      <c r="AI665" s="183"/>
      <c r="AJ665" s="183"/>
      <c r="AK665" s="183"/>
      <c r="AL665" s="183"/>
      <c r="AM665" s="183"/>
      <c r="AN665" s="183"/>
    </row>
    <row r="666" spans="1:40" ht="13" customHeight="1">
      <c r="A666" s="183"/>
      <c r="B666" s="183"/>
      <c r="C666" s="183"/>
      <c r="D666" s="183"/>
      <c r="E666" s="183"/>
      <c r="F666" s="183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  <c r="AA666" s="183"/>
      <c r="AB666" s="183"/>
      <c r="AC666" s="183"/>
      <c r="AD666" s="183"/>
      <c r="AE666" s="183"/>
      <c r="AF666" s="183"/>
      <c r="AG666" s="183"/>
      <c r="AH666" s="183"/>
      <c r="AI666" s="183"/>
      <c r="AJ666" s="183"/>
      <c r="AK666" s="183"/>
      <c r="AL666" s="183"/>
      <c r="AM666" s="183"/>
      <c r="AN666" s="183"/>
    </row>
    <row r="667" spans="1:40" ht="13" customHeight="1">
      <c r="A667" s="183"/>
      <c r="B667" s="183"/>
      <c r="C667" s="183"/>
      <c r="D667" s="183"/>
      <c r="E667" s="183"/>
      <c r="F667" s="183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  <c r="AA667" s="183"/>
      <c r="AB667" s="183"/>
      <c r="AC667" s="183"/>
      <c r="AD667" s="183"/>
      <c r="AE667" s="183"/>
      <c r="AF667" s="183"/>
      <c r="AG667" s="183"/>
      <c r="AH667" s="183"/>
      <c r="AI667" s="183"/>
      <c r="AJ667" s="183"/>
      <c r="AK667" s="183"/>
      <c r="AL667" s="183"/>
      <c r="AM667" s="183"/>
      <c r="AN667" s="183"/>
    </row>
    <row r="668" spans="1:40" ht="13" customHeight="1">
      <c r="A668" s="183"/>
      <c r="B668" s="183"/>
      <c r="C668" s="183"/>
      <c r="D668" s="183"/>
      <c r="E668" s="183"/>
      <c r="F668" s="183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  <c r="AA668" s="183"/>
      <c r="AB668" s="183"/>
      <c r="AC668" s="183"/>
      <c r="AD668" s="183"/>
      <c r="AE668" s="183"/>
      <c r="AF668" s="183"/>
      <c r="AG668" s="183"/>
      <c r="AH668" s="183"/>
      <c r="AI668" s="183"/>
      <c r="AJ668" s="183"/>
      <c r="AK668" s="183"/>
      <c r="AL668" s="183"/>
      <c r="AM668" s="183"/>
      <c r="AN668" s="183"/>
    </row>
    <row r="669" spans="1:40" ht="13" customHeight="1">
      <c r="A669" s="183"/>
      <c r="B669" s="183"/>
      <c r="C669" s="183"/>
      <c r="D669" s="183"/>
      <c r="E669" s="183"/>
      <c r="F669" s="183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  <c r="AA669" s="183"/>
      <c r="AB669" s="183"/>
      <c r="AC669" s="183"/>
      <c r="AD669" s="183"/>
      <c r="AE669" s="183"/>
      <c r="AF669" s="183"/>
      <c r="AG669" s="183"/>
      <c r="AH669" s="183"/>
      <c r="AI669" s="183"/>
      <c r="AJ669" s="183"/>
      <c r="AK669" s="183"/>
      <c r="AL669" s="183"/>
      <c r="AM669" s="183"/>
      <c r="AN669" s="183"/>
    </row>
    <row r="670" spans="1:40" ht="13" customHeight="1">
      <c r="A670" s="183"/>
      <c r="B670" s="183"/>
      <c r="C670" s="183"/>
      <c r="D670" s="183"/>
      <c r="E670" s="183"/>
      <c r="F670" s="183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  <c r="AA670" s="183"/>
      <c r="AB670" s="183"/>
      <c r="AC670" s="183"/>
      <c r="AD670" s="183"/>
      <c r="AE670" s="183"/>
      <c r="AF670" s="183"/>
      <c r="AG670" s="183"/>
      <c r="AH670" s="183"/>
      <c r="AI670" s="183"/>
      <c r="AJ670" s="183"/>
      <c r="AK670" s="183"/>
      <c r="AL670" s="183"/>
      <c r="AM670" s="183"/>
      <c r="AN670" s="183"/>
    </row>
    <row r="671" spans="1:40" ht="13" customHeight="1">
      <c r="A671" s="183"/>
      <c r="B671" s="183"/>
      <c r="C671" s="183"/>
      <c r="D671" s="183"/>
      <c r="E671" s="183"/>
      <c r="F671" s="183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  <c r="AA671" s="183"/>
      <c r="AB671" s="183"/>
      <c r="AC671" s="183"/>
      <c r="AD671" s="183"/>
      <c r="AE671" s="183"/>
      <c r="AF671" s="183"/>
      <c r="AG671" s="183"/>
      <c r="AH671" s="183"/>
      <c r="AI671" s="183"/>
      <c r="AJ671" s="183"/>
      <c r="AK671" s="183"/>
      <c r="AL671" s="183"/>
      <c r="AM671" s="183"/>
      <c r="AN671" s="183"/>
    </row>
    <row r="672" spans="1:40" ht="13" customHeight="1">
      <c r="A672" s="183"/>
      <c r="B672" s="183"/>
      <c r="C672" s="183"/>
      <c r="D672" s="183"/>
      <c r="E672" s="183"/>
      <c r="F672" s="183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  <c r="AA672" s="183"/>
      <c r="AB672" s="183"/>
      <c r="AC672" s="183"/>
      <c r="AD672" s="183"/>
      <c r="AE672" s="183"/>
      <c r="AF672" s="183"/>
      <c r="AG672" s="183"/>
      <c r="AH672" s="183"/>
      <c r="AI672" s="183"/>
      <c r="AJ672" s="183"/>
      <c r="AK672" s="183"/>
      <c r="AL672" s="183"/>
      <c r="AM672" s="183"/>
      <c r="AN672" s="183"/>
    </row>
    <row r="673" spans="1:40" ht="13" customHeight="1">
      <c r="A673" s="183"/>
      <c r="B673" s="183"/>
      <c r="C673" s="183"/>
      <c r="D673" s="183"/>
      <c r="E673" s="183"/>
      <c r="F673" s="183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  <c r="AA673" s="183"/>
      <c r="AB673" s="183"/>
      <c r="AC673" s="183"/>
      <c r="AD673" s="183"/>
      <c r="AE673" s="183"/>
      <c r="AF673" s="183"/>
      <c r="AG673" s="183"/>
      <c r="AH673" s="183"/>
      <c r="AI673" s="183"/>
      <c r="AJ673" s="183"/>
      <c r="AK673" s="183"/>
      <c r="AL673" s="183"/>
      <c r="AM673" s="183"/>
      <c r="AN673" s="183"/>
    </row>
    <row r="674" spans="1:40" ht="13" customHeight="1">
      <c r="A674" s="183"/>
      <c r="B674" s="183"/>
      <c r="C674" s="183"/>
      <c r="D674" s="183"/>
      <c r="E674" s="183"/>
      <c r="F674" s="183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  <c r="AA674" s="183"/>
      <c r="AB674" s="183"/>
      <c r="AC674" s="183"/>
      <c r="AD674" s="183"/>
      <c r="AE674" s="183"/>
      <c r="AF674" s="183"/>
      <c r="AG674" s="183"/>
      <c r="AH674" s="183"/>
      <c r="AI674" s="183"/>
      <c r="AJ674" s="183"/>
      <c r="AK674" s="183"/>
      <c r="AL674" s="183"/>
      <c r="AM674" s="183"/>
      <c r="AN674" s="183"/>
    </row>
    <row r="675" spans="1:40" ht="13" customHeight="1">
      <c r="A675" s="183"/>
      <c r="B675" s="183"/>
      <c r="C675" s="183"/>
      <c r="D675" s="183"/>
      <c r="E675" s="183"/>
      <c r="F675" s="183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  <c r="AA675" s="183"/>
      <c r="AB675" s="183"/>
      <c r="AC675" s="183"/>
      <c r="AD675" s="183"/>
      <c r="AE675" s="183"/>
      <c r="AF675" s="183"/>
      <c r="AG675" s="183"/>
      <c r="AH675" s="183"/>
      <c r="AI675" s="183"/>
      <c r="AJ675" s="183"/>
      <c r="AK675" s="183"/>
      <c r="AL675" s="183"/>
      <c r="AM675" s="183"/>
      <c r="AN675" s="183"/>
    </row>
    <row r="676" spans="1:40" ht="13" customHeight="1">
      <c r="A676" s="183"/>
      <c r="B676" s="183"/>
      <c r="C676" s="183"/>
      <c r="D676" s="183"/>
      <c r="E676" s="183"/>
      <c r="F676" s="183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  <c r="AA676" s="183"/>
      <c r="AB676" s="183"/>
      <c r="AC676" s="183"/>
      <c r="AD676" s="183"/>
      <c r="AE676" s="183"/>
      <c r="AF676" s="183"/>
      <c r="AG676" s="183"/>
      <c r="AH676" s="183"/>
      <c r="AI676" s="183"/>
      <c r="AJ676" s="183"/>
      <c r="AK676" s="183"/>
      <c r="AL676" s="183"/>
      <c r="AM676" s="183"/>
      <c r="AN676" s="183"/>
    </row>
    <row r="677" spans="1:40" ht="13" customHeight="1">
      <c r="A677" s="183"/>
      <c r="B677" s="183"/>
      <c r="C677" s="183"/>
      <c r="D677" s="183"/>
      <c r="E677" s="183"/>
      <c r="F677" s="183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  <c r="AA677" s="183"/>
      <c r="AB677" s="183"/>
      <c r="AC677" s="183"/>
      <c r="AD677" s="183"/>
      <c r="AE677" s="183"/>
      <c r="AF677" s="183"/>
      <c r="AG677" s="183"/>
      <c r="AH677" s="183"/>
      <c r="AI677" s="183"/>
      <c r="AJ677" s="183"/>
      <c r="AK677" s="183"/>
      <c r="AL677" s="183"/>
      <c r="AM677" s="183"/>
      <c r="AN677" s="183"/>
    </row>
    <row r="678" spans="1:40" ht="13" customHeight="1">
      <c r="A678" s="183"/>
      <c r="B678" s="183"/>
      <c r="C678" s="183"/>
      <c r="D678" s="183"/>
      <c r="E678" s="183"/>
      <c r="F678" s="183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  <c r="AA678" s="183"/>
      <c r="AB678" s="183"/>
      <c r="AC678" s="183"/>
      <c r="AD678" s="183"/>
      <c r="AE678" s="183"/>
      <c r="AF678" s="183"/>
      <c r="AG678" s="183"/>
      <c r="AH678" s="183"/>
      <c r="AI678" s="183"/>
      <c r="AJ678" s="183"/>
      <c r="AK678" s="183"/>
      <c r="AL678" s="183"/>
      <c r="AM678" s="183"/>
      <c r="AN678" s="183"/>
    </row>
    <row r="679" spans="1:40" ht="13" customHeight="1">
      <c r="A679" s="183"/>
      <c r="B679" s="183"/>
      <c r="C679" s="183"/>
      <c r="D679" s="183"/>
      <c r="E679" s="183"/>
      <c r="F679" s="183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  <c r="AA679" s="183"/>
      <c r="AB679" s="183"/>
      <c r="AC679" s="183"/>
      <c r="AD679" s="183"/>
      <c r="AE679" s="183"/>
      <c r="AF679" s="183"/>
      <c r="AG679" s="183"/>
      <c r="AH679" s="183"/>
      <c r="AI679" s="183"/>
      <c r="AJ679" s="183"/>
      <c r="AK679" s="183"/>
      <c r="AL679" s="183"/>
      <c r="AM679" s="183"/>
      <c r="AN679" s="183"/>
    </row>
    <row r="680" spans="1:40" ht="13" customHeight="1">
      <c r="A680" s="183"/>
      <c r="B680" s="183"/>
      <c r="C680" s="183"/>
      <c r="D680" s="183"/>
      <c r="E680" s="183"/>
      <c r="F680" s="183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  <c r="AA680" s="183"/>
      <c r="AB680" s="183"/>
      <c r="AC680" s="183"/>
      <c r="AD680" s="183"/>
      <c r="AE680" s="183"/>
      <c r="AF680" s="183"/>
      <c r="AG680" s="183"/>
      <c r="AH680" s="183"/>
      <c r="AI680" s="183"/>
      <c r="AJ680" s="183"/>
      <c r="AK680" s="183"/>
      <c r="AL680" s="183"/>
      <c r="AM680" s="183"/>
      <c r="AN680" s="183"/>
    </row>
    <row r="681" spans="1:40" ht="13" customHeight="1">
      <c r="A681" s="183"/>
      <c r="B681" s="183"/>
      <c r="C681" s="183"/>
      <c r="D681" s="183"/>
      <c r="E681" s="183"/>
      <c r="F681" s="183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  <c r="AA681" s="183"/>
      <c r="AB681" s="183"/>
      <c r="AC681" s="183"/>
      <c r="AD681" s="183"/>
      <c r="AE681" s="183"/>
      <c r="AF681" s="183"/>
      <c r="AG681" s="183"/>
      <c r="AH681" s="183"/>
      <c r="AI681" s="183"/>
      <c r="AJ681" s="183"/>
      <c r="AK681" s="183"/>
      <c r="AL681" s="183"/>
      <c r="AM681" s="183"/>
      <c r="AN681" s="183"/>
    </row>
    <row r="682" spans="1:40" ht="13" customHeight="1">
      <c r="A682" s="183"/>
      <c r="B682" s="183"/>
      <c r="C682" s="183"/>
      <c r="D682" s="183"/>
      <c r="E682" s="183"/>
      <c r="F682" s="183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  <c r="AA682" s="183"/>
      <c r="AB682" s="183"/>
      <c r="AC682" s="183"/>
      <c r="AD682" s="183"/>
      <c r="AE682" s="183"/>
      <c r="AF682" s="183"/>
      <c r="AG682" s="183"/>
      <c r="AH682" s="183"/>
      <c r="AI682" s="183"/>
      <c r="AJ682" s="183"/>
      <c r="AK682" s="183"/>
      <c r="AL682" s="183"/>
      <c r="AM682" s="183"/>
      <c r="AN682" s="183"/>
    </row>
    <row r="683" spans="1:40" ht="13" customHeight="1">
      <c r="A683" s="183"/>
      <c r="B683" s="183"/>
      <c r="C683" s="183"/>
      <c r="D683" s="183"/>
      <c r="E683" s="183"/>
      <c r="F683" s="183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  <c r="AA683" s="183"/>
      <c r="AB683" s="183"/>
      <c r="AC683" s="183"/>
      <c r="AD683" s="183"/>
      <c r="AE683" s="183"/>
      <c r="AF683" s="183"/>
      <c r="AG683" s="183"/>
      <c r="AH683" s="183"/>
      <c r="AI683" s="183"/>
      <c r="AJ683" s="183"/>
      <c r="AK683" s="183"/>
      <c r="AL683" s="183"/>
      <c r="AM683" s="183"/>
      <c r="AN683" s="183"/>
    </row>
    <row r="684" spans="1:40" ht="13" customHeight="1">
      <c r="A684" s="183"/>
      <c r="B684" s="183"/>
      <c r="C684" s="183"/>
      <c r="D684" s="183"/>
      <c r="E684" s="183"/>
      <c r="F684" s="183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  <c r="AA684" s="183"/>
      <c r="AB684" s="183"/>
      <c r="AC684" s="183"/>
      <c r="AD684" s="183"/>
      <c r="AE684" s="183"/>
      <c r="AF684" s="183"/>
      <c r="AG684" s="183"/>
      <c r="AH684" s="183"/>
      <c r="AI684" s="183"/>
      <c r="AJ684" s="183"/>
      <c r="AK684" s="183"/>
      <c r="AL684" s="183"/>
      <c r="AM684" s="183"/>
      <c r="AN684" s="183"/>
    </row>
    <row r="685" spans="1:40" ht="13" customHeight="1">
      <c r="A685" s="183"/>
      <c r="B685" s="183"/>
      <c r="C685" s="183"/>
      <c r="D685" s="183"/>
      <c r="E685" s="183"/>
      <c r="F685" s="183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  <c r="AA685" s="183"/>
      <c r="AB685" s="183"/>
      <c r="AC685" s="183"/>
      <c r="AD685" s="183"/>
      <c r="AE685" s="183"/>
      <c r="AF685" s="183"/>
      <c r="AG685" s="183"/>
      <c r="AH685" s="183"/>
      <c r="AI685" s="183"/>
      <c r="AJ685" s="183"/>
      <c r="AK685" s="183"/>
      <c r="AL685" s="183"/>
      <c r="AM685" s="183"/>
      <c r="AN685" s="183"/>
    </row>
    <row r="686" spans="1:40" ht="13" customHeight="1">
      <c r="A686" s="183"/>
      <c r="B686" s="183"/>
      <c r="C686" s="183"/>
      <c r="D686" s="183"/>
      <c r="E686" s="183"/>
      <c r="F686" s="183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  <c r="AA686" s="183"/>
      <c r="AB686" s="183"/>
      <c r="AC686" s="183"/>
      <c r="AD686" s="183"/>
      <c r="AE686" s="183"/>
      <c r="AF686" s="183"/>
      <c r="AG686" s="183"/>
      <c r="AH686" s="183"/>
      <c r="AI686" s="183"/>
      <c r="AJ686" s="183"/>
      <c r="AK686" s="183"/>
      <c r="AL686" s="183"/>
      <c r="AM686" s="183"/>
      <c r="AN686" s="183"/>
    </row>
    <row r="687" spans="1:40" ht="13" customHeight="1">
      <c r="A687" s="183"/>
      <c r="B687" s="183"/>
      <c r="C687" s="183"/>
      <c r="D687" s="183"/>
      <c r="E687" s="183"/>
      <c r="F687" s="183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  <c r="AA687" s="183"/>
      <c r="AB687" s="183"/>
      <c r="AC687" s="183"/>
      <c r="AD687" s="183"/>
      <c r="AE687" s="183"/>
      <c r="AF687" s="183"/>
      <c r="AG687" s="183"/>
      <c r="AH687" s="183"/>
      <c r="AI687" s="183"/>
      <c r="AJ687" s="183"/>
      <c r="AK687" s="183"/>
      <c r="AL687" s="183"/>
      <c r="AM687" s="183"/>
      <c r="AN687" s="183"/>
    </row>
    <row r="688" spans="1:40" ht="13" customHeight="1">
      <c r="A688" s="183"/>
      <c r="B688" s="183"/>
      <c r="C688" s="183"/>
      <c r="D688" s="183"/>
      <c r="E688" s="183"/>
      <c r="F688" s="183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  <c r="AA688" s="183"/>
      <c r="AB688" s="183"/>
      <c r="AC688" s="183"/>
      <c r="AD688" s="183"/>
      <c r="AE688" s="183"/>
      <c r="AF688" s="183"/>
      <c r="AG688" s="183"/>
      <c r="AH688" s="183"/>
      <c r="AI688" s="183"/>
      <c r="AJ688" s="183"/>
      <c r="AK688" s="183"/>
      <c r="AL688" s="183"/>
      <c r="AM688" s="183"/>
      <c r="AN688" s="183"/>
    </row>
    <row r="689" spans="1:40" ht="13" customHeight="1">
      <c r="A689" s="183"/>
      <c r="B689" s="183"/>
      <c r="C689" s="183"/>
      <c r="D689" s="183"/>
      <c r="E689" s="183"/>
      <c r="F689" s="183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  <c r="AA689" s="183"/>
      <c r="AB689" s="183"/>
      <c r="AC689" s="183"/>
      <c r="AD689" s="183"/>
      <c r="AE689" s="183"/>
      <c r="AF689" s="183"/>
      <c r="AG689" s="183"/>
      <c r="AH689" s="183"/>
      <c r="AI689" s="183"/>
      <c r="AJ689" s="183"/>
      <c r="AK689" s="183"/>
      <c r="AL689" s="183"/>
      <c r="AM689" s="183"/>
      <c r="AN689" s="183"/>
    </row>
    <row r="690" spans="1:40" ht="13" customHeight="1">
      <c r="A690" s="183"/>
      <c r="B690" s="183"/>
      <c r="C690" s="183"/>
      <c r="D690" s="183"/>
      <c r="E690" s="183"/>
      <c r="F690" s="183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  <c r="AA690" s="183"/>
      <c r="AB690" s="183"/>
      <c r="AC690" s="183"/>
      <c r="AD690" s="183"/>
      <c r="AE690" s="183"/>
      <c r="AF690" s="183"/>
      <c r="AG690" s="183"/>
      <c r="AH690" s="183"/>
      <c r="AI690" s="183"/>
      <c r="AJ690" s="183"/>
      <c r="AK690" s="183"/>
      <c r="AL690" s="183"/>
      <c r="AM690" s="183"/>
      <c r="AN690" s="183"/>
    </row>
    <row r="691" spans="1:40" ht="13" customHeight="1">
      <c r="A691" s="183"/>
      <c r="B691" s="183"/>
      <c r="C691" s="183"/>
      <c r="D691" s="183"/>
      <c r="E691" s="183"/>
      <c r="F691" s="183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  <c r="AA691" s="183"/>
      <c r="AB691" s="183"/>
      <c r="AC691" s="183"/>
      <c r="AD691" s="183"/>
      <c r="AE691" s="183"/>
      <c r="AF691" s="183"/>
      <c r="AG691" s="183"/>
      <c r="AH691" s="183"/>
      <c r="AI691" s="183"/>
      <c r="AJ691" s="183"/>
      <c r="AK691" s="183"/>
      <c r="AL691" s="183"/>
      <c r="AM691" s="183"/>
      <c r="AN691" s="183"/>
    </row>
    <row r="692" spans="1:40" ht="13" customHeight="1">
      <c r="A692" s="183"/>
      <c r="B692" s="183"/>
      <c r="C692" s="183"/>
      <c r="D692" s="183"/>
      <c r="E692" s="183"/>
      <c r="F692" s="183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  <c r="AA692" s="183"/>
      <c r="AB692" s="183"/>
      <c r="AC692" s="183"/>
      <c r="AD692" s="183"/>
      <c r="AE692" s="183"/>
      <c r="AF692" s="183"/>
      <c r="AG692" s="183"/>
      <c r="AH692" s="183"/>
      <c r="AI692" s="183"/>
      <c r="AJ692" s="183"/>
      <c r="AK692" s="183"/>
      <c r="AL692" s="183"/>
      <c r="AM692" s="183"/>
      <c r="AN692" s="183"/>
    </row>
    <row r="693" spans="1:40" ht="13" customHeight="1">
      <c r="A693" s="183"/>
      <c r="B693" s="183"/>
      <c r="C693" s="183"/>
      <c r="D693" s="183"/>
      <c r="E693" s="183"/>
      <c r="F693" s="183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  <c r="AA693" s="183"/>
      <c r="AB693" s="183"/>
      <c r="AC693" s="183"/>
      <c r="AD693" s="183"/>
      <c r="AE693" s="183"/>
      <c r="AF693" s="183"/>
      <c r="AG693" s="183"/>
      <c r="AH693" s="183"/>
      <c r="AI693" s="183"/>
      <c r="AJ693" s="183"/>
      <c r="AK693" s="183"/>
      <c r="AL693" s="183"/>
      <c r="AM693" s="183"/>
      <c r="AN693" s="183"/>
    </row>
    <row r="694" spans="1:40" ht="13" customHeight="1">
      <c r="A694" s="183"/>
      <c r="B694" s="183"/>
      <c r="C694" s="183"/>
      <c r="D694" s="183"/>
      <c r="E694" s="183"/>
      <c r="F694" s="183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  <c r="AA694" s="183"/>
      <c r="AB694" s="183"/>
      <c r="AC694" s="183"/>
      <c r="AD694" s="183"/>
      <c r="AE694" s="183"/>
      <c r="AF694" s="183"/>
      <c r="AG694" s="183"/>
      <c r="AH694" s="183"/>
      <c r="AI694" s="183"/>
      <c r="AJ694" s="183"/>
      <c r="AK694" s="183"/>
      <c r="AL694" s="183"/>
      <c r="AM694" s="183"/>
      <c r="AN694" s="183"/>
    </row>
    <row r="695" spans="1:40" ht="13" customHeight="1">
      <c r="A695" s="183"/>
      <c r="B695" s="183"/>
      <c r="C695" s="183"/>
      <c r="D695" s="183"/>
      <c r="E695" s="183"/>
      <c r="F695" s="183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  <c r="AA695" s="183"/>
      <c r="AB695" s="183"/>
      <c r="AC695" s="183"/>
      <c r="AD695" s="183"/>
      <c r="AE695" s="183"/>
      <c r="AF695" s="183"/>
      <c r="AG695" s="183"/>
      <c r="AH695" s="183"/>
      <c r="AI695" s="183"/>
      <c r="AJ695" s="183"/>
      <c r="AK695" s="183"/>
      <c r="AL695" s="183"/>
      <c r="AM695" s="183"/>
      <c r="AN695" s="183"/>
    </row>
    <row r="696" spans="1:40" ht="13" customHeight="1">
      <c r="A696" s="183"/>
      <c r="B696" s="183"/>
      <c r="C696" s="183"/>
      <c r="D696" s="183"/>
      <c r="E696" s="183"/>
      <c r="F696" s="183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  <c r="AA696" s="183"/>
      <c r="AB696" s="183"/>
      <c r="AC696" s="183"/>
      <c r="AD696" s="183"/>
      <c r="AE696" s="183"/>
      <c r="AF696" s="183"/>
      <c r="AG696" s="183"/>
      <c r="AH696" s="183"/>
      <c r="AI696" s="183"/>
      <c r="AJ696" s="183"/>
      <c r="AK696" s="183"/>
      <c r="AL696" s="183"/>
      <c r="AM696" s="183"/>
      <c r="AN696" s="183"/>
    </row>
    <row r="697" spans="1:40" ht="13" customHeight="1">
      <c r="A697" s="183"/>
      <c r="B697" s="183"/>
      <c r="C697" s="183"/>
      <c r="D697" s="183"/>
      <c r="E697" s="183"/>
      <c r="F697" s="183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  <c r="AA697" s="183"/>
      <c r="AB697" s="183"/>
      <c r="AC697" s="183"/>
      <c r="AD697" s="183"/>
      <c r="AE697" s="183"/>
      <c r="AF697" s="183"/>
      <c r="AG697" s="183"/>
      <c r="AH697" s="183"/>
      <c r="AI697" s="183"/>
      <c r="AJ697" s="183"/>
      <c r="AK697" s="183"/>
      <c r="AL697" s="183"/>
      <c r="AM697" s="183"/>
      <c r="AN697" s="183"/>
    </row>
    <row r="698" spans="1:40" ht="13" customHeight="1">
      <c r="A698" s="183"/>
      <c r="B698" s="183"/>
      <c r="C698" s="183"/>
      <c r="D698" s="183"/>
      <c r="E698" s="183"/>
      <c r="F698" s="183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  <c r="AA698" s="183"/>
      <c r="AB698" s="183"/>
      <c r="AC698" s="183"/>
      <c r="AD698" s="183"/>
      <c r="AE698" s="183"/>
      <c r="AF698" s="183"/>
      <c r="AG698" s="183"/>
      <c r="AH698" s="183"/>
      <c r="AI698" s="183"/>
      <c r="AJ698" s="183"/>
      <c r="AK698" s="183"/>
      <c r="AL698" s="183"/>
      <c r="AM698" s="183"/>
      <c r="AN698" s="183"/>
    </row>
    <row r="699" spans="1:40" ht="13" customHeight="1">
      <c r="A699" s="183"/>
      <c r="B699" s="183"/>
      <c r="C699" s="183"/>
      <c r="D699" s="183"/>
      <c r="E699" s="183"/>
      <c r="F699" s="183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  <c r="AA699" s="183"/>
      <c r="AB699" s="183"/>
      <c r="AC699" s="183"/>
      <c r="AD699" s="183"/>
      <c r="AE699" s="183"/>
      <c r="AF699" s="183"/>
      <c r="AG699" s="183"/>
      <c r="AH699" s="183"/>
      <c r="AI699" s="183"/>
      <c r="AJ699" s="183"/>
      <c r="AK699" s="183"/>
      <c r="AL699" s="183"/>
      <c r="AM699" s="183"/>
      <c r="AN699" s="183"/>
    </row>
    <row r="700" spans="1:40" ht="13" customHeight="1">
      <c r="A700" s="183"/>
      <c r="B700" s="183"/>
      <c r="C700" s="183"/>
      <c r="D700" s="183"/>
      <c r="E700" s="183"/>
      <c r="F700" s="183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  <c r="AA700" s="183"/>
      <c r="AB700" s="183"/>
      <c r="AC700" s="183"/>
      <c r="AD700" s="183"/>
      <c r="AE700" s="183"/>
      <c r="AF700" s="183"/>
      <c r="AG700" s="183"/>
      <c r="AH700" s="183"/>
      <c r="AI700" s="183"/>
      <c r="AJ700" s="183"/>
      <c r="AK700" s="183"/>
      <c r="AL700" s="183"/>
      <c r="AM700" s="183"/>
      <c r="AN700" s="183"/>
    </row>
    <row r="701" spans="1:40" ht="13" customHeight="1">
      <c r="A701" s="183"/>
      <c r="B701" s="183"/>
      <c r="C701" s="183"/>
      <c r="D701" s="183"/>
      <c r="E701" s="183"/>
      <c r="F701" s="183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  <c r="AA701" s="183"/>
      <c r="AB701" s="183"/>
      <c r="AC701" s="183"/>
      <c r="AD701" s="183"/>
      <c r="AE701" s="183"/>
      <c r="AF701" s="183"/>
      <c r="AG701" s="183"/>
      <c r="AH701" s="183"/>
      <c r="AI701" s="183"/>
      <c r="AJ701" s="183"/>
      <c r="AK701" s="183"/>
      <c r="AL701" s="183"/>
      <c r="AM701" s="183"/>
      <c r="AN701" s="183"/>
    </row>
    <row r="702" spans="1:40" ht="13" customHeight="1">
      <c r="A702" s="183"/>
      <c r="B702" s="183"/>
      <c r="C702" s="183"/>
      <c r="D702" s="183"/>
      <c r="E702" s="183"/>
      <c r="F702" s="183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  <c r="AA702" s="183"/>
      <c r="AB702" s="183"/>
      <c r="AC702" s="183"/>
      <c r="AD702" s="183"/>
      <c r="AE702" s="183"/>
      <c r="AF702" s="183"/>
      <c r="AG702" s="183"/>
      <c r="AH702" s="183"/>
      <c r="AI702" s="183"/>
      <c r="AJ702" s="183"/>
      <c r="AK702" s="183"/>
      <c r="AL702" s="183"/>
      <c r="AM702" s="183"/>
      <c r="AN702" s="183"/>
    </row>
    <row r="703" spans="1:40" ht="13" customHeight="1">
      <c r="A703" s="183"/>
      <c r="B703" s="183"/>
      <c r="C703" s="183"/>
      <c r="D703" s="183"/>
      <c r="E703" s="183"/>
      <c r="F703" s="183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  <c r="AA703" s="183"/>
      <c r="AB703" s="183"/>
      <c r="AC703" s="183"/>
      <c r="AD703" s="183"/>
      <c r="AE703" s="183"/>
      <c r="AF703" s="183"/>
      <c r="AG703" s="183"/>
      <c r="AH703" s="183"/>
      <c r="AI703" s="183"/>
      <c r="AJ703" s="183"/>
      <c r="AK703" s="183"/>
      <c r="AL703" s="183"/>
      <c r="AM703" s="183"/>
      <c r="AN703" s="183"/>
    </row>
    <row r="704" spans="1:40" ht="13" customHeight="1">
      <c r="A704" s="183"/>
      <c r="B704" s="183"/>
      <c r="C704" s="183"/>
      <c r="D704" s="183"/>
      <c r="E704" s="183"/>
      <c r="F704" s="183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  <c r="AA704" s="183"/>
      <c r="AB704" s="183"/>
      <c r="AC704" s="183"/>
      <c r="AD704" s="183"/>
      <c r="AE704" s="183"/>
      <c r="AF704" s="183"/>
      <c r="AG704" s="183"/>
      <c r="AH704" s="183"/>
      <c r="AI704" s="183"/>
      <c r="AJ704" s="183"/>
      <c r="AK704" s="183"/>
      <c r="AL704" s="183"/>
      <c r="AM704" s="183"/>
      <c r="AN704" s="183"/>
    </row>
    <row r="705" spans="1:40" ht="13" customHeight="1">
      <c r="A705" s="183"/>
      <c r="B705" s="183"/>
      <c r="C705" s="183"/>
      <c r="D705" s="183"/>
      <c r="E705" s="183"/>
      <c r="F705" s="183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  <c r="AA705" s="183"/>
      <c r="AB705" s="183"/>
      <c r="AC705" s="183"/>
      <c r="AD705" s="183"/>
      <c r="AE705" s="183"/>
      <c r="AF705" s="183"/>
      <c r="AG705" s="183"/>
      <c r="AH705" s="183"/>
      <c r="AI705" s="183"/>
      <c r="AJ705" s="183"/>
      <c r="AK705" s="183"/>
      <c r="AL705" s="183"/>
      <c r="AM705" s="183"/>
      <c r="AN705" s="183"/>
    </row>
    <row r="706" spans="1:40" ht="13" customHeight="1">
      <c r="A706" s="183"/>
      <c r="B706" s="183"/>
      <c r="C706" s="183"/>
      <c r="D706" s="183"/>
      <c r="E706" s="183"/>
      <c r="F706" s="183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  <c r="AA706" s="183"/>
      <c r="AB706" s="183"/>
      <c r="AC706" s="183"/>
      <c r="AD706" s="183"/>
      <c r="AE706" s="183"/>
      <c r="AF706" s="183"/>
      <c r="AG706" s="183"/>
      <c r="AH706" s="183"/>
      <c r="AI706" s="183"/>
      <c r="AJ706" s="183"/>
      <c r="AK706" s="183"/>
      <c r="AL706" s="183"/>
      <c r="AM706" s="183"/>
      <c r="AN706" s="183"/>
    </row>
    <row r="707" spans="1:40" ht="13" customHeight="1">
      <c r="A707" s="183"/>
      <c r="B707" s="183"/>
      <c r="C707" s="183"/>
      <c r="D707" s="183"/>
      <c r="E707" s="183"/>
      <c r="F707" s="183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  <c r="AA707" s="183"/>
      <c r="AB707" s="183"/>
      <c r="AC707" s="183"/>
      <c r="AD707" s="183"/>
      <c r="AE707" s="183"/>
      <c r="AF707" s="183"/>
      <c r="AG707" s="183"/>
      <c r="AH707" s="183"/>
      <c r="AI707" s="183"/>
      <c r="AJ707" s="183"/>
      <c r="AK707" s="183"/>
      <c r="AL707" s="183"/>
      <c r="AM707" s="183"/>
      <c r="AN707" s="183"/>
    </row>
    <row r="708" spans="1:40" ht="13" customHeight="1">
      <c r="A708" s="183"/>
      <c r="B708" s="183"/>
      <c r="C708" s="183"/>
      <c r="D708" s="183"/>
      <c r="E708" s="183"/>
      <c r="F708" s="183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  <c r="AA708" s="183"/>
      <c r="AB708" s="183"/>
      <c r="AC708" s="183"/>
      <c r="AD708" s="183"/>
      <c r="AE708" s="183"/>
      <c r="AF708" s="183"/>
      <c r="AG708" s="183"/>
      <c r="AH708" s="183"/>
      <c r="AI708" s="183"/>
      <c r="AJ708" s="183"/>
      <c r="AK708" s="183"/>
      <c r="AL708" s="183"/>
      <c r="AM708" s="183"/>
      <c r="AN708" s="183"/>
    </row>
    <row r="709" spans="1:40" ht="13" customHeight="1">
      <c r="A709" s="183"/>
      <c r="B709" s="183"/>
      <c r="C709" s="183"/>
      <c r="D709" s="183"/>
      <c r="E709" s="183"/>
      <c r="F709" s="183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  <c r="AA709" s="183"/>
      <c r="AB709" s="183"/>
      <c r="AC709" s="183"/>
      <c r="AD709" s="183"/>
      <c r="AE709" s="183"/>
      <c r="AF709" s="183"/>
      <c r="AG709" s="183"/>
      <c r="AH709" s="183"/>
      <c r="AI709" s="183"/>
      <c r="AJ709" s="183"/>
      <c r="AK709" s="183"/>
      <c r="AL709" s="183"/>
      <c r="AM709" s="183"/>
      <c r="AN709" s="183"/>
    </row>
    <row r="710" spans="1:40" ht="13" customHeight="1">
      <c r="A710" s="183"/>
      <c r="B710" s="183"/>
      <c r="C710" s="183"/>
      <c r="D710" s="183"/>
      <c r="E710" s="183"/>
      <c r="F710" s="183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  <c r="AA710" s="183"/>
      <c r="AB710" s="183"/>
      <c r="AC710" s="183"/>
      <c r="AD710" s="183"/>
      <c r="AE710" s="183"/>
      <c r="AF710" s="183"/>
      <c r="AG710" s="183"/>
      <c r="AH710" s="183"/>
      <c r="AI710" s="183"/>
      <c r="AJ710" s="183"/>
      <c r="AK710" s="183"/>
      <c r="AL710" s="183"/>
      <c r="AM710" s="183"/>
      <c r="AN710" s="183"/>
    </row>
    <row r="711" spans="1:40" ht="13" customHeight="1">
      <c r="A711" s="183"/>
      <c r="B711" s="183"/>
      <c r="C711" s="183"/>
      <c r="D711" s="183"/>
      <c r="E711" s="183"/>
      <c r="F711" s="183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  <c r="AA711" s="183"/>
      <c r="AB711" s="183"/>
      <c r="AC711" s="183"/>
      <c r="AD711" s="183"/>
      <c r="AE711" s="183"/>
      <c r="AF711" s="183"/>
      <c r="AG711" s="183"/>
      <c r="AH711" s="183"/>
      <c r="AI711" s="183"/>
      <c r="AJ711" s="183"/>
      <c r="AK711" s="183"/>
      <c r="AL711" s="183"/>
      <c r="AM711" s="183"/>
      <c r="AN711" s="183"/>
    </row>
    <row r="712" spans="1:40" ht="13" customHeight="1">
      <c r="A712" s="183"/>
      <c r="B712" s="183"/>
      <c r="C712" s="183"/>
      <c r="D712" s="183"/>
      <c r="E712" s="183"/>
      <c r="F712" s="183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  <c r="AA712" s="183"/>
      <c r="AB712" s="183"/>
      <c r="AC712" s="183"/>
      <c r="AD712" s="183"/>
      <c r="AE712" s="183"/>
      <c r="AF712" s="183"/>
      <c r="AG712" s="183"/>
      <c r="AH712" s="183"/>
      <c r="AI712" s="183"/>
      <c r="AJ712" s="183"/>
      <c r="AK712" s="183"/>
      <c r="AL712" s="183"/>
      <c r="AM712" s="183"/>
      <c r="AN712" s="183"/>
    </row>
    <row r="713" spans="1:40" ht="13" customHeight="1">
      <c r="A713" s="183"/>
      <c r="B713" s="183"/>
      <c r="C713" s="183"/>
      <c r="D713" s="183"/>
      <c r="E713" s="183"/>
      <c r="F713" s="183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  <c r="AA713" s="183"/>
      <c r="AB713" s="183"/>
      <c r="AC713" s="183"/>
      <c r="AD713" s="183"/>
      <c r="AE713" s="183"/>
      <c r="AF713" s="183"/>
      <c r="AG713" s="183"/>
      <c r="AH713" s="183"/>
      <c r="AI713" s="183"/>
      <c r="AJ713" s="183"/>
      <c r="AK713" s="183"/>
      <c r="AL713" s="183"/>
      <c r="AM713" s="183"/>
      <c r="AN713" s="183"/>
    </row>
    <row r="714" spans="1:40" ht="13" customHeight="1">
      <c r="A714" s="183"/>
      <c r="B714" s="183"/>
      <c r="C714" s="183"/>
      <c r="D714" s="183"/>
      <c r="E714" s="183"/>
      <c r="F714" s="183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  <c r="AA714" s="183"/>
      <c r="AB714" s="183"/>
      <c r="AC714" s="183"/>
      <c r="AD714" s="183"/>
      <c r="AE714" s="183"/>
      <c r="AF714" s="183"/>
      <c r="AG714" s="183"/>
      <c r="AH714" s="183"/>
      <c r="AI714" s="183"/>
      <c r="AJ714" s="183"/>
      <c r="AK714" s="183"/>
      <c r="AL714" s="183"/>
      <c r="AM714" s="183"/>
      <c r="AN714" s="183"/>
    </row>
    <row r="715" spans="1:40" ht="13" customHeight="1">
      <c r="A715" s="183"/>
      <c r="B715" s="183"/>
      <c r="C715" s="183"/>
      <c r="D715" s="183"/>
      <c r="E715" s="183"/>
      <c r="F715" s="183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  <c r="AA715" s="183"/>
      <c r="AB715" s="183"/>
      <c r="AC715" s="183"/>
      <c r="AD715" s="183"/>
      <c r="AE715" s="183"/>
      <c r="AF715" s="183"/>
      <c r="AG715" s="183"/>
      <c r="AH715" s="183"/>
      <c r="AI715" s="183"/>
      <c r="AJ715" s="183"/>
      <c r="AK715" s="183"/>
      <c r="AL715" s="183"/>
      <c r="AM715" s="183"/>
      <c r="AN715" s="183"/>
    </row>
    <row r="716" spans="1:40" ht="13" customHeight="1">
      <c r="A716" s="183"/>
      <c r="B716" s="183"/>
      <c r="C716" s="183"/>
      <c r="D716" s="183"/>
      <c r="E716" s="183"/>
      <c r="F716" s="183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  <c r="AA716" s="183"/>
      <c r="AB716" s="183"/>
      <c r="AC716" s="183"/>
      <c r="AD716" s="183"/>
      <c r="AE716" s="183"/>
      <c r="AF716" s="183"/>
      <c r="AG716" s="183"/>
      <c r="AH716" s="183"/>
      <c r="AI716" s="183"/>
      <c r="AJ716" s="183"/>
      <c r="AK716" s="183"/>
      <c r="AL716" s="183"/>
      <c r="AM716" s="183"/>
      <c r="AN716" s="183"/>
    </row>
    <row r="717" spans="1:40" ht="13" customHeight="1">
      <c r="A717" s="183"/>
      <c r="B717" s="183"/>
      <c r="C717" s="183"/>
      <c r="D717" s="183"/>
      <c r="E717" s="183"/>
      <c r="F717" s="183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  <c r="AA717" s="183"/>
      <c r="AB717" s="183"/>
      <c r="AC717" s="183"/>
      <c r="AD717" s="183"/>
      <c r="AE717" s="183"/>
      <c r="AF717" s="183"/>
      <c r="AG717" s="183"/>
      <c r="AH717" s="183"/>
      <c r="AI717" s="183"/>
      <c r="AJ717" s="183"/>
      <c r="AK717" s="183"/>
      <c r="AL717" s="183"/>
      <c r="AM717" s="183"/>
      <c r="AN717" s="183"/>
    </row>
    <row r="718" spans="1:40" ht="13" customHeight="1">
      <c r="A718" s="183"/>
      <c r="B718" s="183"/>
      <c r="C718" s="183"/>
      <c r="D718" s="183"/>
      <c r="E718" s="183"/>
      <c r="F718" s="183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  <c r="AA718" s="183"/>
      <c r="AB718" s="183"/>
      <c r="AC718" s="183"/>
      <c r="AD718" s="183"/>
      <c r="AE718" s="183"/>
      <c r="AF718" s="183"/>
      <c r="AG718" s="183"/>
      <c r="AH718" s="183"/>
      <c r="AI718" s="183"/>
      <c r="AJ718" s="183"/>
      <c r="AK718" s="183"/>
      <c r="AL718" s="183"/>
      <c r="AM718" s="183"/>
      <c r="AN718" s="183"/>
    </row>
    <row r="719" spans="1:40" ht="13" customHeight="1">
      <c r="A719" s="183"/>
      <c r="B719" s="183"/>
      <c r="C719" s="183"/>
      <c r="D719" s="183"/>
      <c r="E719" s="183"/>
      <c r="F719" s="183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  <c r="AA719" s="183"/>
      <c r="AB719" s="183"/>
      <c r="AC719" s="183"/>
      <c r="AD719" s="183"/>
      <c r="AE719" s="183"/>
      <c r="AF719" s="183"/>
      <c r="AG719" s="183"/>
      <c r="AH719" s="183"/>
      <c r="AI719" s="183"/>
      <c r="AJ719" s="183"/>
      <c r="AK719" s="183"/>
      <c r="AL719" s="183"/>
      <c r="AM719" s="183"/>
      <c r="AN719" s="183"/>
    </row>
    <row r="720" spans="1:40" ht="13" customHeight="1">
      <c r="A720" s="183"/>
      <c r="B720" s="183"/>
      <c r="C720" s="183"/>
      <c r="D720" s="183"/>
      <c r="E720" s="183"/>
      <c r="F720" s="183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  <c r="AA720" s="183"/>
      <c r="AB720" s="183"/>
      <c r="AC720" s="183"/>
      <c r="AD720" s="183"/>
      <c r="AE720" s="183"/>
      <c r="AF720" s="183"/>
      <c r="AG720" s="183"/>
      <c r="AH720" s="183"/>
      <c r="AI720" s="183"/>
      <c r="AJ720" s="183"/>
      <c r="AK720" s="183"/>
      <c r="AL720" s="183"/>
      <c r="AM720" s="183"/>
      <c r="AN720" s="183"/>
    </row>
    <row r="721" spans="1:40" ht="13" customHeight="1">
      <c r="A721" s="183"/>
      <c r="B721" s="183"/>
      <c r="C721" s="183"/>
      <c r="D721" s="183"/>
      <c r="E721" s="183"/>
      <c r="F721" s="183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  <c r="AA721" s="183"/>
      <c r="AB721" s="183"/>
      <c r="AC721" s="183"/>
      <c r="AD721" s="183"/>
      <c r="AE721" s="183"/>
      <c r="AF721" s="183"/>
      <c r="AG721" s="183"/>
      <c r="AH721" s="183"/>
      <c r="AI721" s="183"/>
      <c r="AJ721" s="183"/>
      <c r="AK721" s="183"/>
      <c r="AL721" s="183"/>
      <c r="AM721" s="183"/>
      <c r="AN721" s="183"/>
    </row>
    <row r="722" spans="1:40" ht="13" customHeight="1">
      <c r="A722" s="183"/>
      <c r="B722" s="183"/>
      <c r="C722" s="183"/>
      <c r="D722" s="183"/>
      <c r="E722" s="183"/>
      <c r="F722" s="183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  <c r="AA722" s="183"/>
      <c r="AB722" s="183"/>
      <c r="AC722" s="183"/>
      <c r="AD722" s="183"/>
      <c r="AE722" s="183"/>
      <c r="AF722" s="183"/>
      <c r="AG722" s="183"/>
      <c r="AH722" s="183"/>
      <c r="AI722" s="183"/>
      <c r="AJ722" s="183"/>
      <c r="AK722" s="183"/>
      <c r="AL722" s="183"/>
      <c r="AM722" s="183"/>
      <c r="AN722" s="183"/>
    </row>
    <row r="723" spans="1:40" ht="13" customHeight="1">
      <c r="A723" s="183"/>
      <c r="B723" s="183"/>
      <c r="C723" s="183"/>
      <c r="D723" s="183"/>
      <c r="E723" s="183"/>
      <c r="F723" s="183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  <c r="AA723" s="183"/>
      <c r="AB723" s="183"/>
      <c r="AC723" s="183"/>
      <c r="AD723" s="183"/>
      <c r="AE723" s="183"/>
      <c r="AF723" s="183"/>
      <c r="AG723" s="183"/>
      <c r="AH723" s="183"/>
      <c r="AI723" s="183"/>
      <c r="AJ723" s="183"/>
      <c r="AK723" s="183"/>
      <c r="AL723" s="183"/>
      <c r="AM723" s="183"/>
      <c r="AN723" s="183"/>
    </row>
    <row r="724" spans="1:40" ht="13" customHeight="1">
      <c r="A724" s="183"/>
      <c r="B724" s="183"/>
      <c r="C724" s="183"/>
      <c r="D724" s="183"/>
      <c r="E724" s="183"/>
      <c r="F724" s="183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  <c r="AA724" s="183"/>
      <c r="AB724" s="183"/>
      <c r="AC724" s="183"/>
      <c r="AD724" s="183"/>
      <c r="AE724" s="183"/>
      <c r="AF724" s="183"/>
      <c r="AG724" s="183"/>
      <c r="AH724" s="183"/>
      <c r="AI724" s="183"/>
      <c r="AJ724" s="183"/>
      <c r="AK724" s="183"/>
      <c r="AL724" s="183"/>
      <c r="AM724" s="183"/>
      <c r="AN724" s="183"/>
    </row>
    <row r="725" spans="1:40" ht="13" customHeight="1">
      <c r="A725" s="183"/>
      <c r="B725" s="183"/>
      <c r="C725" s="183"/>
      <c r="D725" s="183"/>
      <c r="E725" s="183"/>
      <c r="F725" s="183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  <c r="AA725" s="183"/>
      <c r="AB725" s="183"/>
      <c r="AC725" s="183"/>
      <c r="AD725" s="183"/>
      <c r="AE725" s="183"/>
      <c r="AF725" s="183"/>
      <c r="AG725" s="183"/>
      <c r="AH725" s="183"/>
      <c r="AI725" s="183"/>
      <c r="AJ725" s="183"/>
      <c r="AK725" s="183"/>
      <c r="AL725" s="183"/>
      <c r="AM725" s="183"/>
      <c r="AN725" s="183"/>
    </row>
    <row r="726" spans="1:40" ht="13" customHeight="1">
      <c r="A726" s="183"/>
      <c r="B726" s="183"/>
      <c r="C726" s="183"/>
      <c r="D726" s="183"/>
      <c r="E726" s="183"/>
      <c r="F726" s="183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  <c r="AA726" s="183"/>
      <c r="AB726" s="183"/>
      <c r="AC726" s="183"/>
      <c r="AD726" s="183"/>
      <c r="AE726" s="183"/>
      <c r="AF726" s="183"/>
      <c r="AG726" s="183"/>
      <c r="AH726" s="183"/>
      <c r="AI726" s="183"/>
      <c r="AJ726" s="183"/>
      <c r="AK726" s="183"/>
      <c r="AL726" s="183"/>
      <c r="AM726" s="183"/>
      <c r="AN726" s="183"/>
    </row>
    <row r="727" spans="1:40" ht="13" customHeight="1">
      <c r="A727" s="183"/>
      <c r="B727" s="183"/>
      <c r="C727" s="183"/>
      <c r="D727" s="183"/>
      <c r="E727" s="183"/>
      <c r="F727" s="183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  <c r="AA727" s="183"/>
      <c r="AB727" s="183"/>
      <c r="AC727" s="183"/>
      <c r="AD727" s="183"/>
      <c r="AE727" s="183"/>
      <c r="AF727" s="183"/>
      <c r="AG727" s="183"/>
      <c r="AH727" s="183"/>
      <c r="AI727" s="183"/>
      <c r="AJ727" s="183"/>
      <c r="AK727" s="183"/>
      <c r="AL727" s="183"/>
      <c r="AM727" s="183"/>
      <c r="AN727" s="183"/>
    </row>
    <row r="728" spans="1:40" ht="13" customHeight="1">
      <c r="A728" s="183"/>
      <c r="B728" s="183"/>
      <c r="C728" s="183"/>
      <c r="D728" s="183"/>
      <c r="E728" s="183"/>
      <c r="F728" s="183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  <c r="AA728" s="183"/>
      <c r="AB728" s="183"/>
      <c r="AC728" s="183"/>
      <c r="AD728" s="183"/>
      <c r="AE728" s="183"/>
      <c r="AF728" s="183"/>
      <c r="AG728" s="183"/>
      <c r="AH728" s="183"/>
      <c r="AI728" s="183"/>
      <c r="AJ728" s="183"/>
      <c r="AK728" s="183"/>
      <c r="AL728" s="183"/>
      <c r="AM728" s="183"/>
      <c r="AN728" s="183"/>
    </row>
    <row r="729" spans="1:40" ht="13" customHeight="1">
      <c r="A729" s="183"/>
      <c r="B729" s="183"/>
      <c r="C729" s="183"/>
      <c r="D729" s="183"/>
      <c r="E729" s="183"/>
      <c r="F729" s="183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  <c r="AA729" s="183"/>
      <c r="AB729" s="183"/>
      <c r="AC729" s="183"/>
      <c r="AD729" s="183"/>
      <c r="AE729" s="183"/>
      <c r="AF729" s="183"/>
      <c r="AG729" s="183"/>
      <c r="AH729" s="183"/>
      <c r="AI729" s="183"/>
      <c r="AJ729" s="183"/>
      <c r="AK729" s="183"/>
      <c r="AL729" s="183"/>
      <c r="AM729" s="183"/>
      <c r="AN729" s="183"/>
    </row>
    <row r="730" spans="1:40" ht="13" customHeight="1">
      <c r="A730" s="183"/>
      <c r="B730" s="183"/>
      <c r="C730" s="183"/>
      <c r="D730" s="183"/>
      <c r="E730" s="183"/>
      <c r="F730" s="183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  <c r="AA730" s="183"/>
      <c r="AB730" s="183"/>
      <c r="AC730" s="183"/>
      <c r="AD730" s="183"/>
      <c r="AE730" s="183"/>
      <c r="AF730" s="183"/>
      <c r="AG730" s="183"/>
      <c r="AH730" s="183"/>
      <c r="AI730" s="183"/>
      <c r="AJ730" s="183"/>
      <c r="AK730" s="183"/>
      <c r="AL730" s="183"/>
      <c r="AM730" s="183"/>
      <c r="AN730" s="183"/>
    </row>
    <row r="731" spans="1:40" ht="13" customHeight="1">
      <c r="A731" s="183"/>
      <c r="B731" s="183"/>
      <c r="C731" s="183"/>
      <c r="D731" s="183"/>
      <c r="E731" s="183"/>
      <c r="F731" s="183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  <c r="AA731" s="183"/>
      <c r="AB731" s="183"/>
      <c r="AC731" s="183"/>
      <c r="AD731" s="183"/>
      <c r="AE731" s="183"/>
      <c r="AF731" s="183"/>
      <c r="AG731" s="183"/>
      <c r="AH731" s="183"/>
      <c r="AI731" s="183"/>
      <c r="AJ731" s="183"/>
      <c r="AK731" s="183"/>
      <c r="AL731" s="183"/>
      <c r="AM731" s="183"/>
      <c r="AN731" s="183"/>
    </row>
    <row r="732" spans="1:40" ht="13" customHeight="1">
      <c r="A732" s="183"/>
      <c r="B732" s="183"/>
      <c r="C732" s="183"/>
      <c r="D732" s="183"/>
      <c r="E732" s="183"/>
      <c r="F732" s="183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  <c r="AA732" s="183"/>
      <c r="AB732" s="183"/>
      <c r="AC732" s="183"/>
      <c r="AD732" s="183"/>
      <c r="AE732" s="183"/>
      <c r="AF732" s="183"/>
      <c r="AG732" s="183"/>
      <c r="AH732" s="183"/>
      <c r="AI732" s="183"/>
      <c r="AJ732" s="183"/>
      <c r="AK732" s="183"/>
      <c r="AL732" s="183"/>
      <c r="AM732" s="183"/>
      <c r="AN732" s="183"/>
    </row>
    <row r="733" spans="1:40" ht="13" customHeight="1">
      <c r="A733" s="183"/>
      <c r="B733" s="183"/>
      <c r="C733" s="183"/>
      <c r="D733" s="183"/>
      <c r="E733" s="183"/>
      <c r="F733" s="183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  <c r="AA733" s="183"/>
      <c r="AB733" s="183"/>
      <c r="AC733" s="183"/>
      <c r="AD733" s="183"/>
      <c r="AE733" s="183"/>
      <c r="AF733" s="183"/>
      <c r="AG733" s="183"/>
      <c r="AH733" s="183"/>
      <c r="AI733" s="183"/>
      <c r="AJ733" s="183"/>
      <c r="AK733" s="183"/>
      <c r="AL733" s="183"/>
      <c r="AM733" s="183"/>
      <c r="AN733" s="183"/>
    </row>
    <row r="734" spans="1:40" ht="13" customHeight="1">
      <c r="A734" s="183"/>
      <c r="B734" s="183"/>
      <c r="C734" s="183"/>
      <c r="D734" s="183"/>
      <c r="E734" s="183"/>
      <c r="F734" s="183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  <c r="AA734" s="183"/>
      <c r="AB734" s="183"/>
      <c r="AC734" s="183"/>
      <c r="AD734" s="183"/>
      <c r="AE734" s="183"/>
      <c r="AF734" s="183"/>
      <c r="AG734" s="183"/>
      <c r="AH734" s="183"/>
      <c r="AI734" s="183"/>
      <c r="AJ734" s="183"/>
      <c r="AK734" s="183"/>
      <c r="AL734" s="183"/>
      <c r="AM734" s="183"/>
      <c r="AN734" s="183"/>
    </row>
    <row r="735" spans="1:40" ht="13" customHeight="1">
      <c r="A735" s="183"/>
      <c r="B735" s="183"/>
      <c r="C735" s="183"/>
      <c r="D735" s="183"/>
      <c r="E735" s="183"/>
      <c r="F735" s="183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  <c r="AA735" s="183"/>
      <c r="AB735" s="183"/>
      <c r="AC735" s="183"/>
      <c r="AD735" s="183"/>
      <c r="AE735" s="183"/>
      <c r="AF735" s="183"/>
      <c r="AG735" s="183"/>
      <c r="AH735" s="183"/>
      <c r="AI735" s="183"/>
      <c r="AJ735" s="183"/>
      <c r="AK735" s="183"/>
      <c r="AL735" s="183"/>
      <c r="AM735" s="183"/>
      <c r="AN735" s="183"/>
    </row>
    <row r="736" spans="1:40" ht="13" customHeight="1">
      <c r="A736" s="183"/>
      <c r="B736" s="183"/>
      <c r="C736" s="183"/>
      <c r="D736" s="183"/>
      <c r="E736" s="183"/>
      <c r="F736" s="183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  <c r="AA736" s="183"/>
      <c r="AB736" s="183"/>
      <c r="AC736" s="183"/>
      <c r="AD736" s="183"/>
      <c r="AE736" s="183"/>
      <c r="AF736" s="183"/>
      <c r="AG736" s="183"/>
      <c r="AH736" s="183"/>
      <c r="AI736" s="183"/>
      <c r="AJ736" s="183"/>
      <c r="AK736" s="183"/>
      <c r="AL736" s="183"/>
      <c r="AM736" s="183"/>
      <c r="AN736" s="183"/>
    </row>
    <row r="737" spans="1:40" ht="13" customHeight="1">
      <c r="A737" s="183"/>
      <c r="B737" s="183"/>
      <c r="C737" s="183"/>
      <c r="D737" s="183"/>
      <c r="E737" s="183"/>
      <c r="F737" s="183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  <c r="AA737" s="183"/>
      <c r="AB737" s="183"/>
      <c r="AC737" s="183"/>
      <c r="AD737" s="183"/>
      <c r="AE737" s="183"/>
      <c r="AF737" s="183"/>
      <c r="AG737" s="183"/>
      <c r="AH737" s="183"/>
      <c r="AI737" s="183"/>
      <c r="AJ737" s="183"/>
      <c r="AK737" s="183"/>
      <c r="AL737" s="183"/>
      <c r="AM737" s="183"/>
      <c r="AN737" s="183"/>
    </row>
    <row r="738" spans="1:40" ht="13" customHeight="1">
      <c r="A738" s="183"/>
      <c r="B738" s="183"/>
      <c r="C738" s="183"/>
      <c r="D738" s="183"/>
      <c r="E738" s="183"/>
      <c r="F738" s="183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  <c r="AA738" s="183"/>
      <c r="AB738" s="183"/>
      <c r="AC738" s="183"/>
      <c r="AD738" s="183"/>
      <c r="AE738" s="183"/>
      <c r="AF738" s="183"/>
      <c r="AG738" s="183"/>
      <c r="AH738" s="183"/>
      <c r="AI738" s="183"/>
      <c r="AJ738" s="183"/>
      <c r="AK738" s="183"/>
      <c r="AL738" s="183"/>
      <c r="AM738" s="183"/>
      <c r="AN738" s="183"/>
    </row>
    <row r="739" spans="1:40" ht="13" customHeight="1">
      <c r="A739" s="183"/>
      <c r="B739" s="183"/>
      <c r="C739" s="183"/>
      <c r="D739" s="183"/>
      <c r="E739" s="183"/>
      <c r="F739" s="183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  <c r="AA739" s="183"/>
      <c r="AB739" s="183"/>
      <c r="AC739" s="183"/>
      <c r="AD739" s="183"/>
      <c r="AE739" s="183"/>
      <c r="AF739" s="183"/>
      <c r="AG739" s="183"/>
      <c r="AH739" s="183"/>
      <c r="AI739" s="183"/>
      <c r="AJ739" s="183"/>
      <c r="AK739" s="183"/>
      <c r="AL739" s="183"/>
      <c r="AM739" s="183"/>
      <c r="AN739" s="183"/>
    </row>
    <row r="740" spans="1:40" ht="13" customHeight="1">
      <c r="A740" s="183"/>
      <c r="B740" s="183"/>
      <c r="C740" s="183"/>
      <c r="D740" s="183"/>
      <c r="E740" s="183"/>
      <c r="F740" s="183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  <c r="AA740" s="183"/>
      <c r="AB740" s="183"/>
      <c r="AC740" s="183"/>
      <c r="AD740" s="183"/>
      <c r="AE740" s="183"/>
      <c r="AF740" s="183"/>
      <c r="AG740" s="183"/>
      <c r="AH740" s="183"/>
      <c r="AI740" s="183"/>
      <c r="AJ740" s="183"/>
      <c r="AK740" s="183"/>
      <c r="AL740" s="183"/>
      <c r="AM740" s="183"/>
      <c r="AN740" s="183"/>
    </row>
    <row r="741" spans="1:40" ht="13" customHeight="1">
      <c r="A741" s="183"/>
      <c r="B741" s="183"/>
      <c r="C741" s="183"/>
      <c r="D741" s="183"/>
      <c r="E741" s="183"/>
      <c r="F741" s="183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  <c r="AA741" s="183"/>
      <c r="AB741" s="183"/>
      <c r="AC741" s="183"/>
      <c r="AD741" s="183"/>
      <c r="AE741" s="183"/>
      <c r="AF741" s="183"/>
      <c r="AG741" s="183"/>
      <c r="AH741" s="183"/>
      <c r="AI741" s="183"/>
      <c r="AJ741" s="183"/>
      <c r="AK741" s="183"/>
      <c r="AL741" s="183"/>
      <c r="AM741" s="183"/>
      <c r="AN741" s="183"/>
    </row>
    <row r="742" spans="1:40" ht="13" customHeight="1">
      <c r="A742" s="183"/>
      <c r="B742" s="183"/>
      <c r="C742" s="183"/>
      <c r="D742" s="183"/>
      <c r="E742" s="183"/>
      <c r="F742" s="183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  <c r="AA742" s="183"/>
      <c r="AB742" s="183"/>
      <c r="AC742" s="183"/>
      <c r="AD742" s="183"/>
      <c r="AE742" s="183"/>
      <c r="AF742" s="183"/>
      <c r="AG742" s="183"/>
      <c r="AH742" s="183"/>
      <c r="AI742" s="183"/>
      <c r="AJ742" s="183"/>
      <c r="AK742" s="183"/>
      <c r="AL742" s="183"/>
      <c r="AM742" s="183"/>
      <c r="AN742" s="183"/>
    </row>
    <row r="743" spans="1:40" ht="13" customHeight="1">
      <c r="A743" s="183"/>
      <c r="B743" s="183"/>
      <c r="C743" s="183"/>
      <c r="D743" s="183"/>
      <c r="E743" s="183"/>
      <c r="F743" s="183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  <c r="AA743" s="183"/>
      <c r="AB743" s="183"/>
      <c r="AC743" s="183"/>
      <c r="AD743" s="183"/>
      <c r="AE743" s="183"/>
      <c r="AF743" s="183"/>
      <c r="AG743" s="183"/>
      <c r="AH743" s="183"/>
      <c r="AI743" s="183"/>
      <c r="AJ743" s="183"/>
      <c r="AK743" s="183"/>
      <c r="AL743" s="183"/>
      <c r="AM743" s="183"/>
      <c r="AN743" s="183"/>
    </row>
    <row r="744" spans="1:40" ht="13" customHeight="1">
      <c r="A744" s="183"/>
      <c r="B744" s="183"/>
      <c r="C744" s="183"/>
      <c r="D744" s="183"/>
      <c r="E744" s="183"/>
      <c r="F744" s="183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  <c r="AA744" s="183"/>
      <c r="AB744" s="183"/>
      <c r="AC744" s="183"/>
      <c r="AD744" s="183"/>
      <c r="AE744" s="183"/>
      <c r="AF744" s="183"/>
      <c r="AG744" s="183"/>
      <c r="AH744" s="183"/>
      <c r="AI744" s="183"/>
      <c r="AJ744" s="183"/>
      <c r="AK744" s="183"/>
      <c r="AL744" s="183"/>
      <c r="AM744" s="183"/>
      <c r="AN744" s="183"/>
    </row>
    <row r="745" spans="1:40" ht="13" customHeight="1">
      <c r="A745" s="183"/>
      <c r="B745" s="183"/>
      <c r="C745" s="183"/>
      <c r="D745" s="183"/>
      <c r="E745" s="183"/>
      <c r="F745" s="183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  <c r="AA745" s="183"/>
      <c r="AB745" s="183"/>
      <c r="AC745" s="183"/>
      <c r="AD745" s="183"/>
      <c r="AE745" s="183"/>
      <c r="AF745" s="183"/>
      <c r="AG745" s="183"/>
      <c r="AH745" s="183"/>
      <c r="AI745" s="183"/>
      <c r="AJ745" s="183"/>
      <c r="AK745" s="183"/>
      <c r="AL745" s="183"/>
      <c r="AM745" s="183"/>
      <c r="AN745" s="183"/>
    </row>
    <row r="746" spans="1:40" ht="13" customHeight="1">
      <c r="A746" s="183"/>
      <c r="B746" s="183"/>
      <c r="C746" s="183"/>
      <c r="D746" s="183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  <c r="AA746" s="183"/>
      <c r="AB746" s="183"/>
      <c r="AC746" s="183"/>
      <c r="AD746" s="183"/>
      <c r="AE746" s="183"/>
      <c r="AF746" s="183"/>
      <c r="AG746" s="183"/>
      <c r="AH746" s="183"/>
      <c r="AI746" s="183"/>
      <c r="AJ746" s="183"/>
      <c r="AK746" s="183"/>
      <c r="AL746" s="183"/>
      <c r="AM746" s="183"/>
      <c r="AN746" s="183"/>
    </row>
    <row r="747" spans="1:40" ht="13" customHeight="1">
      <c r="A747" s="183"/>
      <c r="B747" s="183"/>
      <c r="C747" s="183"/>
      <c r="D747" s="183"/>
      <c r="E747" s="183"/>
      <c r="F747" s="183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  <c r="AA747" s="183"/>
      <c r="AB747" s="183"/>
      <c r="AC747" s="183"/>
      <c r="AD747" s="183"/>
      <c r="AE747" s="183"/>
      <c r="AF747" s="183"/>
      <c r="AG747" s="183"/>
      <c r="AH747" s="183"/>
      <c r="AI747" s="183"/>
      <c r="AJ747" s="183"/>
      <c r="AK747" s="183"/>
      <c r="AL747" s="183"/>
      <c r="AM747" s="183"/>
      <c r="AN747" s="183"/>
    </row>
    <row r="748" spans="1:40" ht="13" customHeight="1">
      <c r="A748" s="183"/>
      <c r="B748" s="183"/>
      <c r="C748" s="183"/>
      <c r="D748" s="183"/>
      <c r="E748" s="183"/>
      <c r="F748" s="183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  <c r="AA748" s="183"/>
      <c r="AB748" s="183"/>
      <c r="AC748" s="183"/>
      <c r="AD748" s="183"/>
      <c r="AE748" s="183"/>
      <c r="AF748" s="183"/>
      <c r="AG748" s="183"/>
      <c r="AH748" s="183"/>
      <c r="AI748" s="183"/>
      <c r="AJ748" s="183"/>
      <c r="AK748" s="183"/>
      <c r="AL748" s="183"/>
      <c r="AM748" s="183"/>
      <c r="AN748" s="183"/>
    </row>
    <row r="749" spans="1:40" ht="13" customHeight="1">
      <c r="A749" s="183"/>
      <c r="B749" s="183"/>
      <c r="C749" s="183"/>
      <c r="D749" s="183"/>
      <c r="E749" s="183"/>
      <c r="F749" s="183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  <c r="AA749" s="183"/>
      <c r="AB749" s="183"/>
      <c r="AC749" s="183"/>
      <c r="AD749" s="183"/>
      <c r="AE749" s="183"/>
      <c r="AF749" s="183"/>
      <c r="AG749" s="183"/>
      <c r="AH749" s="183"/>
      <c r="AI749" s="183"/>
      <c r="AJ749" s="183"/>
      <c r="AK749" s="183"/>
      <c r="AL749" s="183"/>
      <c r="AM749" s="183"/>
      <c r="AN749" s="183"/>
    </row>
    <row r="750" spans="1:40" ht="13" customHeight="1">
      <c r="A750" s="183"/>
      <c r="B750" s="183"/>
      <c r="C750" s="183"/>
      <c r="D750" s="183"/>
      <c r="E750" s="183"/>
      <c r="F750" s="183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  <c r="AA750" s="183"/>
      <c r="AB750" s="183"/>
      <c r="AC750" s="183"/>
      <c r="AD750" s="183"/>
      <c r="AE750" s="183"/>
      <c r="AF750" s="183"/>
      <c r="AG750" s="183"/>
      <c r="AH750" s="183"/>
      <c r="AI750" s="183"/>
      <c r="AJ750" s="183"/>
      <c r="AK750" s="183"/>
      <c r="AL750" s="183"/>
      <c r="AM750" s="183"/>
      <c r="AN750" s="183"/>
    </row>
    <row r="751" spans="1:40" ht="13" customHeight="1">
      <c r="A751" s="183"/>
      <c r="B751" s="183"/>
      <c r="C751" s="183"/>
      <c r="D751" s="183"/>
      <c r="E751" s="183"/>
      <c r="F751" s="183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  <c r="AA751" s="183"/>
      <c r="AB751" s="183"/>
      <c r="AC751" s="183"/>
      <c r="AD751" s="183"/>
      <c r="AE751" s="183"/>
      <c r="AF751" s="183"/>
      <c r="AG751" s="183"/>
      <c r="AH751" s="183"/>
      <c r="AI751" s="183"/>
      <c r="AJ751" s="183"/>
      <c r="AK751" s="183"/>
      <c r="AL751" s="183"/>
      <c r="AM751" s="183"/>
      <c r="AN751" s="183"/>
    </row>
    <row r="752" spans="1:40" ht="13" customHeight="1">
      <c r="A752" s="183"/>
      <c r="B752" s="183"/>
      <c r="C752" s="183"/>
      <c r="D752" s="183"/>
      <c r="E752" s="183"/>
      <c r="F752" s="183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  <c r="AA752" s="183"/>
      <c r="AB752" s="183"/>
      <c r="AC752" s="183"/>
      <c r="AD752" s="183"/>
      <c r="AE752" s="183"/>
      <c r="AF752" s="183"/>
      <c r="AG752" s="183"/>
      <c r="AH752" s="183"/>
      <c r="AI752" s="183"/>
      <c r="AJ752" s="183"/>
      <c r="AK752" s="183"/>
      <c r="AL752" s="183"/>
      <c r="AM752" s="183"/>
      <c r="AN752" s="183"/>
    </row>
    <row r="753" spans="1:40" ht="13" customHeight="1">
      <c r="A753" s="183"/>
      <c r="B753" s="183"/>
      <c r="C753" s="183"/>
      <c r="D753" s="183"/>
      <c r="E753" s="183"/>
      <c r="F753" s="183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  <c r="AA753" s="183"/>
      <c r="AB753" s="183"/>
      <c r="AC753" s="183"/>
      <c r="AD753" s="183"/>
      <c r="AE753" s="183"/>
      <c r="AF753" s="183"/>
      <c r="AG753" s="183"/>
      <c r="AH753" s="183"/>
      <c r="AI753" s="183"/>
      <c r="AJ753" s="183"/>
      <c r="AK753" s="183"/>
      <c r="AL753" s="183"/>
      <c r="AM753" s="183"/>
      <c r="AN753" s="183"/>
    </row>
    <row r="754" spans="1:40" ht="13" customHeight="1">
      <c r="A754" s="183"/>
      <c r="B754" s="183"/>
      <c r="C754" s="183"/>
      <c r="D754" s="183"/>
      <c r="E754" s="183"/>
      <c r="F754" s="183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  <c r="AA754" s="183"/>
      <c r="AB754" s="183"/>
      <c r="AC754" s="183"/>
      <c r="AD754" s="183"/>
      <c r="AE754" s="183"/>
      <c r="AF754" s="183"/>
      <c r="AG754" s="183"/>
      <c r="AH754" s="183"/>
      <c r="AI754" s="183"/>
      <c r="AJ754" s="183"/>
      <c r="AK754" s="183"/>
      <c r="AL754" s="183"/>
      <c r="AM754" s="183"/>
      <c r="AN754" s="183"/>
    </row>
    <row r="755" spans="1:40" ht="13" customHeight="1">
      <c r="A755" s="183"/>
      <c r="B755" s="183"/>
      <c r="C755" s="183"/>
      <c r="D755" s="183"/>
      <c r="E755" s="183"/>
      <c r="F755" s="183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  <c r="AA755" s="183"/>
      <c r="AB755" s="183"/>
      <c r="AC755" s="183"/>
      <c r="AD755" s="183"/>
      <c r="AE755" s="183"/>
      <c r="AF755" s="183"/>
      <c r="AG755" s="183"/>
      <c r="AH755" s="183"/>
      <c r="AI755" s="183"/>
      <c r="AJ755" s="183"/>
      <c r="AK755" s="183"/>
      <c r="AL755" s="183"/>
      <c r="AM755" s="183"/>
      <c r="AN755" s="183"/>
    </row>
    <row r="756" spans="1:40" ht="13" customHeight="1">
      <c r="A756" s="183"/>
      <c r="B756" s="183"/>
      <c r="C756" s="183"/>
      <c r="D756" s="183"/>
      <c r="E756" s="183"/>
      <c r="F756" s="183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  <c r="AA756" s="183"/>
      <c r="AB756" s="183"/>
      <c r="AC756" s="183"/>
      <c r="AD756" s="183"/>
      <c r="AE756" s="183"/>
      <c r="AF756" s="183"/>
      <c r="AG756" s="183"/>
      <c r="AH756" s="183"/>
      <c r="AI756" s="183"/>
      <c r="AJ756" s="183"/>
      <c r="AK756" s="183"/>
      <c r="AL756" s="183"/>
      <c r="AM756" s="183"/>
      <c r="AN756" s="183"/>
    </row>
    <row r="757" spans="1:40" ht="13" customHeight="1">
      <c r="A757" s="183"/>
      <c r="B757" s="183"/>
      <c r="C757" s="183"/>
      <c r="D757" s="183"/>
      <c r="E757" s="183"/>
      <c r="F757" s="183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  <c r="AA757" s="183"/>
      <c r="AB757" s="183"/>
      <c r="AC757" s="183"/>
      <c r="AD757" s="183"/>
      <c r="AE757" s="183"/>
      <c r="AF757" s="183"/>
      <c r="AG757" s="183"/>
      <c r="AH757" s="183"/>
      <c r="AI757" s="183"/>
      <c r="AJ757" s="183"/>
      <c r="AK757" s="183"/>
      <c r="AL757" s="183"/>
      <c r="AM757" s="183"/>
      <c r="AN757" s="183"/>
    </row>
    <row r="758" spans="1:40" ht="13" customHeight="1">
      <c r="A758" s="183"/>
      <c r="B758" s="183"/>
      <c r="C758" s="183"/>
      <c r="D758" s="183"/>
      <c r="E758" s="183"/>
      <c r="F758" s="183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  <c r="AA758" s="183"/>
      <c r="AB758" s="183"/>
      <c r="AC758" s="183"/>
      <c r="AD758" s="183"/>
      <c r="AE758" s="183"/>
      <c r="AF758" s="183"/>
      <c r="AG758" s="183"/>
      <c r="AH758" s="183"/>
      <c r="AI758" s="183"/>
      <c r="AJ758" s="183"/>
      <c r="AK758" s="183"/>
      <c r="AL758" s="183"/>
      <c r="AM758" s="183"/>
      <c r="AN758" s="183"/>
    </row>
    <row r="759" spans="1:40" ht="13" customHeight="1">
      <c r="A759" s="183"/>
      <c r="B759" s="183"/>
      <c r="C759" s="183"/>
      <c r="D759" s="183"/>
      <c r="E759" s="183"/>
      <c r="F759" s="183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  <c r="AA759" s="183"/>
      <c r="AB759" s="183"/>
      <c r="AC759" s="183"/>
      <c r="AD759" s="183"/>
      <c r="AE759" s="183"/>
      <c r="AF759" s="183"/>
      <c r="AG759" s="183"/>
      <c r="AH759" s="183"/>
      <c r="AI759" s="183"/>
      <c r="AJ759" s="183"/>
      <c r="AK759" s="183"/>
      <c r="AL759" s="183"/>
      <c r="AM759" s="183"/>
      <c r="AN759" s="183"/>
    </row>
    <row r="760" spans="1:40" ht="13" customHeight="1">
      <c r="A760" s="183"/>
      <c r="B760" s="183"/>
      <c r="C760" s="183"/>
      <c r="D760" s="183"/>
      <c r="E760" s="183"/>
      <c r="F760" s="183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  <c r="AA760" s="183"/>
      <c r="AB760" s="183"/>
      <c r="AC760" s="183"/>
      <c r="AD760" s="183"/>
      <c r="AE760" s="183"/>
      <c r="AF760" s="183"/>
      <c r="AG760" s="183"/>
      <c r="AH760" s="183"/>
      <c r="AI760" s="183"/>
      <c r="AJ760" s="183"/>
      <c r="AK760" s="183"/>
      <c r="AL760" s="183"/>
      <c r="AM760" s="183"/>
      <c r="AN760" s="183"/>
    </row>
    <row r="761" spans="1:40" ht="13" customHeight="1">
      <c r="A761" s="183"/>
      <c r="B761" s="183"/>
      <c r="C761" s="183"/>
      <c r="D761" s="183"/>
      <c r="E761" s="183"/>
      <c r="F761" s="183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  <c r="AA761" s="183"/>
      <c r="AB761" s="183"/>
      <c r="AC761" s="183"/>
      <c r="AD761" s="183"/>
      <c r="AE761" s="183"/>
      <c r="AF761" s="183"/>
      <c r="AG761" s="183"/>
      <c r="AH761" s="183"/>
      <c r="AI761" s="183"/>
      <c r="AJ761" s="183"/>
      <c r="AK761" s="183"/>
      <c r="AL761" s="183"/>
      <c r="AM761" s="183"/>
      <c r="AN761" s="183"/>
    </row>
    <row r="762" spans="1:40" ht="13" customHeight="1">
      <c r="A762" s="183"/>
      <c r="B762" s="183"/>
      <c r="C762" s="183"/>
      <c r="D762" s="183"/>
      <c r="E762" s="183"/>
      <c r="F762" s="183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  <c r="AA762" s="183"/>
      <c r="AB762" s="183"/>
      <c r="AC762" s="183"/>
      <c r="AD762" s="183"/>
      <c r="AE762" s="183"/>
      <c r="AF762" s="183"/>
      <c r="AG762" s="183"/>
      <c r="AH762" s="183"/>
      <c r="AI762" s="183"/>
      <c r="AJ762" s="183"/>
      <c r="AK762" s="183"/>
      <c r="AL762" s="183"/>
      <c r="AM762" s="183"/>
      <c r="AN762" s="183"/>
    </row>
    <row r="763" spans="1:40" ht="13" customHeight="1">
      <c r="A763" s="183"/>
      <c r="B763" s="183"/>
      <c r="C763" s="183"/>
      <c r="D763" s="183"/>
      <c r="E763" s="183"/>
      <c r="F763" s="183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  <c r="AA763" s="183"/>
      <c r="AB763" s="183"/>
      <c r="AC763" s="183"/>
      <c r="AD763" s="183"/>
      <c r="AE763" s="183"/>
      <c r="AF763" s="183"/>
      <c r="AG763" s="183"/>
      <c r="AH763" s="183"/>
      <c r="AI763" s="183"/>
      <c r="AJ763" s="183"/>
      <c r="AK763" s="183"/>
      <c r="AL763" s="183"/>
      <c r="AM763" s="183"/>
      <c r="AN763" s="183"/>
    </row>
    <row r="764" spans="1:40" ht="13" customHeight="1">
      <c r="A764" s="183"/>
      <c r="B764" s="183"/>
      <c r="C764" s="183"/>
      <c r="D764" s="183"/>
      <c r="E764" s="183"/>
      <c r="F764" s="183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  <c r="AA764" s="183"/>
      <c r="AB764" s="183"/>
      <c r="AC764" s="183"/>
      <c r="AD764" s="183"/>
      <c r="AE764" s="183"/>
      <c r="AF764" s="183"/>
      <c r="AG764" s="183"/>
      <c r="AH764" s="183"/>
      <c r="AI764" s="183"/>
      <c r="AJ764" s="183"/>
      <c r="AK764" s="183"/>
      <c r="AL764" s="183"/>
      <c r="AM764" s="183"/>
      <c r="AN764" s="183"/>
    </row>
    <row r="765" spans="1:40" ht="13" customHeight="1">
      <c r="A765" s="183"/>
      <c r="B765" s="183"/>
      <c r="C765" s="183"/>
      <c r="D765" s="183"/>
      <c r="E765" s="183"/>
      <c r="F765" s="183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  <c r="AA765" s="183"/>
      <c r="AB765" s="183"/>
      <c r="AC765" s="183"/>
      <c r="AD765" s="183"/>
      <c r="AE765" s="183"/>
      <c r="AF765" s="183"/>
      <c r="AG765" s="183"/>
      <c r="AH765" s="183"/>
      <c r="AI765" s="183"/>
      <c r="AJ765" s="183"/>
      <c r="AK765" s="183"/>
      <c r="AL765" s="183"/>
      <c r="AM765" s="183"/>
      <c r="AN765" s="183"/>
    </row>
    <row r="766" spans="1:40" ht="13" customHeight="1">
      <c r="A766" s="183"/>
      <c r="B766" s="183"/>
      <c r="C766" s="183"/>
      <c r="D766" s="183"/>
      <c r="E766" s="183"/>
      <c r="F766" s="183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  <c r="AA766" s="183"/>
      <c r="AB766" s="183"/>
      <c r="AC766" s="183"/>
      <c r="AD766" s="183"/>
      <c r="AE766" s="183"/>
      <c r="AF766" s="183"/>
      <c r="AG766" s="183"/>
      <c r="AH766" s="183"/>
      <c r="AI766" s="183"/>
      <c r="AJ766" s="183"/>
      <c r="AK766" s="183"/>
      <c r="AL766" s="183"/>
      <c r="AM766" s="183"/>
      <c r="AN766" s="183"/>
    </row>
    <row r="767" spans="1:40" ht="13" customHeight="1">
      <c r="A767" s="183"/>
      <c r="B767" s="183"/>
      <c r="C767" s="183"/>
      <c r="D767" s="183"/>
      <c r="E767" s="183"/>
      <c r="F767" s="183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  <c r="AA767" s="183"/>
      <c r="AB767" s="183"/>
      <c r="AC767" s="183"/>
      <c r="AD767" s="183"/>
      <c r="AE767" s="183"/>
      <c r="AF767" s="183"/>
      <c r="AG767" s="183"/>
      <c r="AH767" s="183"/>
      <c r="AI767" s="183"/>
      <c r="AJ767" s="183"/>
      <c r="AK767" s="183"/>
      <c r="AL767" s="183"/>
      <c r="AM767" s="183"/>
      <c r="AN767" s="183"/>
    </row>
    <row r="768" spans="1:40" ht="13" customHeight="1">
      <c r="A768" s="183"/>
      <c r="B768" s="183"/>
      <c r="C768" s="183"/>
      <c r="D768" s="183"/>
      <c r="E768" s="183"/>
      <c r="F768" s="183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  <c r="AA768" s="183"/>
      <c r="AB768" s="183"/>
      <c r="AC768" s="183"/>
      <c r="AD768" s="183"/>
      <c r="AE768" s="183"/>
      <c r="AF768" s="183"/>
      <c r="AG768" s="183"/>
      <c r="AH768" s="183"/>
      <c r="AI768" s="183"/>
      <c r="AJ768" s="183"/>
      <c r="AK768" s="183"/>
      <c r="AL768" s="183"/>
      <c r="AM768" s="183"/>
      <c r="AN768" s="183"/>
    </row>
    <row r="769" spans="1:40" ht="13" customHeight="1">
      <c r="A769" s="183"/>
      <c r="B769" s="183"/>
      <c r="C769" s="183"/>
      <c r="D769" s="183"/>
      <c r="E769" s="183"/>
      <c r="F769" s="183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  <c r="AA769" s="183"/>
      <c r="AB769" s="183"/>
      <c r="AC769" s="183"/>
      <c r="AD769" s="183"/>
      <c r="AE769" s="183"/>
      <c r="AF769" s="183"/>
      <c r="AG769" s="183"/>
      <c r="AH769" s="183"/>
      <c r="AI769" s="183"/>
      <c r="AJ769" s="183"/>
      <c r="AK769" s="183"/>
      <c r="AL769" s="183"/>
      <c r="AM769" s="183"/>
      <c r="AN769" s="183"/>
    </row>
    <row r="770" spans="1:40" ht="13" customHeight="1">
      <c r="A770" s="183"/>
      <c r="B770" s="183"/>
      <c r="C770" s="183"/>
      <c r="D770" s="183"/>
      <c r="E770" s="183"/>
      <c r="F770" s="183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  <c r="AA770" s="183"/>
      <c r="AB770" s="183"/>
      <c r="AC770" s="183"/>
      <c r="AD770" s="183"/>
      <c r="AE770" s="183"/>
      <c r="AF770" s="183"/>
      <c r="AG770" s="183"/>
      <c r="AH770" s="183"/>
      <c r="AI770" s="183"/>
      <c r="AJ770" s="183"/>
      <c r="AK770" s="183"/>
      <c r="AL770" s="183"/>
      <c r="AM770" s="183"/>
      <c r="AN770" s="183"/>
    </row>
    <row r="771" spans="1:40" ht="13" customHeight="1">
      <c r="A771" s="183"/>
      <c r="B771" s="183"/>
      <c r="C771" s="183"/>
      <c r="D771" s="183"/>
      <c r="E771" s="183"/>
      <c r="F771" s="183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  <c r="AA771" s="183"/>
      <c r="AB771" s="183"/>
      <c r="AC771" s="183"/>
      <c r="AD771" s="183"/>
      <c r="AE771" s="183"/>
      <c r="AF771" s="183"/>
      <c r="AG771" s="183"/>
      <c r="AH771" s="183"/>
      <c r="AI771" s="183"/>
      <c r="AJ771" s="183"/>
      <c r="AK771" s="183"/>
      <c r="AL771" s="183"/>
      <c r="AM771" s="183"/>
      <c r="AN771" s="183"/>
    </row>
    <row r="772" spans="1:40" ht="13" customHeight="1">
      <c r="A772" s="183"/>
      <c r="B772" s="183"/>
      <c r="C772" s="183"/>
      <c r="D772" s="183"/>
      <c r="E772" s="183"/>
      <c r="F772" s="183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  <c r="AA772" s="183"/>
      <c r="AB772" s="183"/>
      <c r="AC772" s="183"/>
      <c r="AD772" s="183"/>
      <c r="AE772" s="183"/>
      <c r="AF772" s="183"/>
      <c r="AG772" s="183"/>
      <c r="AH772" s="183"/>
      <c r="AI772" s="183"/>
      <c r="AJ772" s="183"/>
      <c r="AK772" s="183"/>
      <c r="AL772" s="183"/>
      <c r="AM772" s="183"/>
      <c r="AN772" s="183"/>
    </row>
    <row r="773" spans="1:40" ht="13" customHeight="1">
      <c r="A773" s="183"/>
      <c r="B773" s="183"/>
      <c r="C773" s="183"/>
      <c r="D773" s="183"/>
      <c r="E773" s="183"/>
      <c r="F773" s="183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  <c r="AA773" s="183"/>
      <c r="AB773" s="183"/>
      <c r="AC773" s="183"/>
      <c r="AD773" s="183"/>
      <c r="AE773" s="183"/>
      <c r="AF773" s="183"/>
      <c r="AG773" s="183"/>
      <c r="AH773" s="183"/>
      <c r="AI773" s="183"/>
      <c r="AJ773" s="183"/>
      <c r="AK773" s="183"/>
      <c r="AL773" s="183"/>
      <c r="AM773" s="183"/>
      <c r="AN773" s="183"/>
    </row>
    <row r="774" spans="1:40" ht="13" customHeight="1">
      <c r="A774" s="183"/>
      <c r="B774" s="183"/>
      <c r="C774" s="183"/>
      <c r="D774" s="183"/>
      <c r="E774" s="183"/>
      <c r="F774" s="183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  <c r="AA774" s="183"/>
      <c r="AB774" s="183"/>
      <c r="AC774" s="183"/>
      <c r="AD774" s="183"/>
      <c r="AE774" s="183"/>
      <c r="AF774" s="183"/>
      <c r="AG774" s="183"/>
      <c r="AH774" s="183"/>
      <c r="AI774" s="183"/>
      <c r="AJ774" s="183"/>
      <c r="AK774" s="183"/>
      <c r="AL774" s="183"/>
      <c r="AM774" s="183"/>
      <c r="AN774" s="183"/>
    </row>
    <row r="775" spans="1:40" ht="13" customHeight="1">
      <c r="A775" s="183"/>
      <c r="B775" s="183"/>
      <c r="C775" s="183"/>
      <c r="D775" s="183"/>
      <c r="E775" s="183"/>
      <c r="F775" s="183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  <c r="AA775" s="183"/>
      <c r="AB775" s="183"/>
      <c r="AC775" s="183"/>
      <c r="AD775" s="183"/>
      <c r="AE775" s="183"/>
      <c r="AF775" s="183"/>
      <c r="AG775" s="183"/>
      <c r="AH775" s="183"/>
      <c r="AI775" s="183"/>
      <c r="AJ775" s="183"/>
      <c r="AK775" s="183"/>
      <c r="AL775" s="183"/>
      <c r="AM775" s="183"/>
      <c r="AN775" s="183"/>
    </row>
    <row r="776" spans="1:40" ht="13" customHeight="1">
      <c r="A776" s="183"/>
      <c r="B776" s="183"/>
      <c r="C776" s="183"/>
      <c r="D776" s="183"/>
      <c r="E776" s="183"/>
      <c r="F776" s="183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  <c r="AA776" s="183"/>
      <c r="AB776" s="183"/>
      <c r="AC776" s="183"/>
      <c r="AD776" s="183"/>
      <c r="AE776" s="183"/>
      <c r="AF776" s="183"/>
      <c r="AG776" s="183"/>
      <c r="AH776" s="183"/>
      <c r="AI776" s="183"/>
      <c r="AJ776" s="183"/>
      <c r="AK776" s="183"/>
      <c r="AL776" s="183"/>
      <c r="AM776" s="183"/>
      <c r="AN776" s="183"/>
    </row>
    <row r="777" spans="1:40" ht="13" customHeight="1">
      <c r="A777" s="183"/>
      <c r="B777" s="183"/>
      <c r="C777" s="183"/>
      <c r="D777" s="183"/>
      <c r="E777" s="183"/>
      <c r="F777" s="183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  <c r="AA777" s="183"/>
      <c r="AB777" s="183"/>
      <c r="AC777" s="183"/>
      <c r="AD777" s="183"/>
      <c r="AE777" s="183"/>
      <c r="AF777" s="183"/>
      <c r="AG777" s="183"/>
      <c r="AH777" s="183"/>
      <c r="AI777" s="183"/>
      <c r="AJ777" s="183"/>
      <c r="AK777" s="183"/>
      <c r="AL777" s="183"/>
      <c r="AM777" s="183"/>
      <c r="AN777" s="183"/>
    </row>
    <row r="778" spans="1:40" ht="13" customHeight="1">
      <c r="A778" s="183"/>
      <c r="B778" s="183"/>
      <c r="C778" s="183"/>
      <c r="D778" s="183"/>
      <c r="E778" s="183"/>
      <c r="F778" s="183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  <c r="AA778" s="183"/>
      <c r="AB778" s="183"/>
      <c r="AC778" s="183"/>
      <c r="AD778" s="183"/>
      <c r="AE778" s="183"/>
      <c r="AF778" s="183"/>
      <c r="AG778" s="183"/>
      <c r="AH778" s="183"/>
      <c r="AI778" s="183"/>
      <c r="AJ778" s="183"/>
      <c r="AK778" s="183"/>
      <c r="AL778" s="183"/>
      <c r="AM778" s="183"/>
      <c r="AN778" s="183"/>
    </row>
    <row r="779" spans="1:40" ht="13" customHeight="1">
      <c r="A779" s="183"/>
      <c r="B779" s="183"/>
      <c r="C779" s="183"/>
      <c r="D779" s="183"/>
      <c r="E779" s="183"/>
      <c r="F779" s="183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  <c r="AA779" s="183"/>
      <c r="AB779" s="183"/>
      <c r="AC779" s="183"/>
      <c r="AD779" s="183"/>
      <c r="AE779" s="183"/>
      <c r="AF779" s="183"/>
      <c r="AG779" s="183"/>
      <c r="AH779" s="183"/>
      <c r="AI779" s="183"/>
      <c r="AJ779" s="183"/>
      <c r="AK779" s="183"/>
      <c r="AL779" s="183"/>
      <c r="AM779" s="183"/>
      <c r="AN779" s="183"/>
    </row>
    <row r="780" spans="1:40" ht="13" customHeight="1">
      <c r="A780" s="183"/>
      <c r="B780" s="183"/>
      <c r="C780" s="183"/>
      <c r="D780" s="183"/>
      <c r="E780" s="183"/>
      <c r="F780" s="183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  <c r="AA780" s="183"/>
      <c r="AB780" s="183"/>
      <c r="AC780" s="183"/>
      <c r="AD780" s="183"/>
      <c r="AE780" s="183"/>
      <c r="AF780" s="183"/>
      <c r="AG780" s="183"/>
      <c r="AH780" s="183"/>
      <c r="AI780" s="183"/>
      <c r="AJ780" s="183"/>
      <c r="AK780" s="183"/>
      <c r="AL780" s="183"/>
      <c r="AM780" s="183"/>
      <c r="AN780" s="183"/>
    </row>
    <row r="781" spans="1:40" ht="13" customHeight="1">
      <c r="A781" s="183"/>
      <c r="B781" s="183"/>
      <c r="C781" s="183"/>
      <c r="D781" s="183"/>
      <c r="E781" s="183"/>
      <c r="F781" s="183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  <c r="AA781" s="183"/>
      <c r="AB781" s="183"/>
      <c r="AC781" s="183"/>
      <c r="AD781" s="183"/>
      <c r="AE781" s="183"/>
      <c r="AF781" s="183"/>
      <c r="AG781" s="183"/>
      <c r="AH781" s="183"/>
      <c r="AI781" s="183"/>
      <c r="AJ781" s="183"/>
      <c r="AK781" s="183"/>
      <c r="AL781" s="183"/>
      <c r="AM781" s="183"/>
      <c r="AN781" s="183"/>
    </row>
    <row r="782" spans="1:40" ht="13" customHeight="1">
      <c r="A782" s="183"/>
      <c r="B782" s="183"/>
      <c r="C782" s="183"/>
      <c r="D782" s="183"/>
      <c r="E782" s="183"/>
      <c r="F782" s="183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  <c r="AA782" s="183"/>
      <c r="AB782" s="183"/>
      <c r="AC782" s="183"/>
      <c r="AD782" s="183"/>
      <c r="AE782" s="183"/>
      <c r="AF782" s="183"/>
      <c r="AG782" s="183"/>
      <c r="AH782" s="183"/>
      <c r="AI782" s="183"/>
      <c r="AJ782" s="183"/>
      <c r="AK782" s="183"/>
      <c r="AL782" s="183"/>
      <c r="AM782" s="183"/>
      <c r="AN782" s="183"/>
    </row>
    <row r="783" spans="1:40" ht="13" customHeight="1">
      <c r="A783" s="183"/>
      <c r="B783" s="183"/>
      <c r="C783" s="183"/>
      <c r="D783" s="183"/>
      <c r="E783" s="183"/>
      <c r="F783" s="183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  <c r="AA783" s="183"/>
      <c r="AB783" s="183"/>
      <c r="AC783" s="183"/>
      <c r="AD783" s="183"/>
      <c r="AE783" s="183"/>
      <c r="AF783" s="183"/>
      <c r="AG783" s="183"/>
      <c r="AH783" s="183"/>
      <c r="AI783" s="183"/>
      <c r="AJ783" s="183"/>
      <c r="AK783" s="183"/>
      <c r="AL783" s="183"/>
      <c r="AM783" s="183"/>
      <c r="AN783" s="183"/>
    </row>
    <row r="784" spans="1:40" ht="13" customHeight="1">
      <c r="A784" s="183"/>
      <c r="B784" s="183"/>
      <c r="C784" s="183"/>
      <c r="D784" s="183"/>
      <c r="E784" s="183"/>
      <c r="F784" s="183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  <c r="AA784" s="183"/>
      <c r="AB784" s="183"/>
      <c r="AC784" s="183"/>
      <c r="AD784" s="183"/>
      <c r="AE784" s="183"/>
      <c r="AF784" s="183"/>
      <c r="AG784" s="183"/>
      <c r="AH784" s="183"/>
      <c r="AI784" s="183"/>
      <c r="AJ784" s="183"/>
      <c r="AK784" s="183"/>
      <c r="AL784" s="183"/>
      <c r="AM784" s="183"/>
      <c r="AN784" s="183"/>
    </row>
    <row r="785" spans="1:40" ht="13" customHeight="1">
      <c r="A785" s="183"/>
      <c r="B785" s="183"/>
      <c r="C785" s="183"/>
      <c r="D785" s="183"/>
      <c r="E785" s="183"/>
      <c r="F785" s="183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  <c r="AA785" s="183"/>
      <c r="AB785" s="183"/>
      <c r="AC785" s="183"/>
      <c r="AD785" s="183"/>
      <c r="AE785" s="183"/>
      <c r="AF785" s="183"/>
      <c r="AG785" s="183"/>
      <c r="AH785" s="183"/>
      <c r="AI785" s="183"/>
      <c r="AJ785" s="183"/>
      <c r="AK785" s="183"/>
      <c r="AL785" s="183"/>
      <c r="AM785" s="183"/>
      <c r="AN785" s="183"/>
    </row>
    <row r="786" spans="1:40" ht="13" customHeight="1">
      <c r="A786" s="183"/>
      <c r="B786" s="183"/>
      <c r="C786" s="183"/>
      <c r="D786" s="183"/>
      <c r="E786" s="183"/>
      <c r="F786" s="183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  <c r="AA786" s="183"/>
      <c r="AB786" s="183"/>
      <c r="AC786" s="183"/>
      <c r="AD786" s="183"/>
      <c r="AE786" s="183"/>
      <c r="AF786" s="183"/>
      <c r="AG786" s="183"/>
      <c r="AH786" s="183"/>
      <c r="AI786" s="183"/>
      <c r="AJ786" s="183"/>
      <c r="AK786" s="183"/>
      <c r="AL786" s="183"/>
      <c r="AM786" s="183"/>
      <c r="AN786" s="183"/>
    </row>
    <row r="787" spans="1:40" ht="13" customHeight="1">
      <c r="A787" s="183"/>
      <c r="B787" s="183"/>
      <c r="C787" s="183"/>
      <c r="D787" s="183"/>
      <c r="E787" s="183"/>
      <c r="F787" s="183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  <c r="AA787" s="183"/>
      <c r="AB787" s="183"/>
      <c r="AC787" s="183"/>
      <c r="AD787" s="183"/>
      <c r="AE787" s="183"/>
      <c r="AF787" s="183"/>
      <c r="AG787" s="183"/>
      <c r="AH787" s="183"/>
      <c r="AI787" s="183"/>
      <c r="AJ787" s="183"/>
      <c r="AK787" s="183"/>
      <c r="AL787" s="183"/>
      <c r="AM787" s="183"/>
      <c r="AN787" s="183"/>
    </row>
    <row r="788" spans="1:40" ht="13" customHeight="1">
      <c r="A788" s="183"/>
      <c r="B788" s="183"/>
      <c r="C788" s="183"/>
      <c r="D788" s="183"/>
      <c r="E788" s="183"/>
      <c r="F788" s="183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  <c r="AA788" s="183"/>
      <c r="AB788" s="183"/>
      <c r="AC788" s="183"/>
      <c r="AD788" s="183"/>
      <c r="AE788" s="183"/>
      <c r="AF788" s="183"/>
      <c r="AG788" s="183"/>
      <c r="AH788" s="183"/>
      <c r="AI788" s="183"/>
      <c r="AJ788" s="183"/>
      <c r="AK788" s="183"/>
      <c r="AL788" s="183"/>
      <c r="AM788" s="183"/>
      <c r="AN788" s="183"/>
    </row>
    <row r="789" spans="1:40" ht="13" customHeight="1">
      <c r="A789" s="183"/>
      <c r="B789" s="183"/>
      <c r="C789" s="183"/>
      <c r="D789" s="183"/>
      <c r="E789" s="183"/>
      <c r="F789" s="183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  <c r="AA789" s="183"/>
      <c r="AB789" s="183"/>
      <c r="AC789" s="183"/>
      <c r="AD789" s="183"/>
      <c r="AE789" s="183"/>
      <c r="AF789" s="183"/>
      <c r="AG789" s="183"/>
      <c r="AH789" s="183"/>
      <c r="AI789" s="183"/>
      <c r="AJ789" s="183"/>
      <c r="AK789" s="183"/>
      <c r="AL789" s="183"/>
      <c r="AM789" s="183"/>
      <c r="AN789" s="183"/>
    </row>
    <row r="790" spans="1:40" ht="13" customHeight="1">
      <c r="A790" s="183"/>
      <c r="B790" s="183"/>
      <c r="C790" s="183"/>
      <c r="D790" s="183"/>
      <c r="E790" s="183"/>
      <c r="F790" s="183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  <c r="AA790" s="183"/>
      <c r="AB790" s="183"/>
      <c r="AC790" s="183"/>
      <c r="AD790" s="183"/>
      <c r="AE790" s="183"/>
      <c r="AF790" s="183"/>
      <c r="AG790" s="183"/>
      <c r="AH790" s="183"/>
      <c r="AI790" s="183"/>
      <c r="AJ790" s="183"/>
      <c r="AK790" s="183"/>
      <c r="AL790" s="183"/>
      <c r="AM790" s="183"/>
      <c r="AN790" s="183"/>
    </row>
    <row r="791" spans="1:40" ht="13" customHeight="1">
      <c r="A791" s="183"/>
      <c r="B791" s="183"/>
      <c r="C791" s="183"/>
      <c r="D791" s="183"/>
      <c r="E791" s="183"/>
      <c r="F791" s="183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  <c r="AA791" s="183"/>
      <c r="AB791" s="183"/>
      <c r="AC791" s="183"/>
      <c r="AD791" s="183"/>
      <c r="AE791" s="183"/>
      <c r="AF791" s="183"/>
      <c r="AG791" s="183"/>
      <c r="AH791" s="183"/>
      <c r="AI791" s="183"/>
      <c r="AJ791" s="183"/>
      <c r="AK791" s="183"/>
      <c r="AL791" s="183"/>
      <c r="AM791" s="183"/>
      <c r="AN791" s="183"/>
    </row>
    <row r="792" spans="1:40" ht="13" customHeight="1">
      <c r="A792" s="183"/>
      <c r="B792" s="183"/>
      <c r="C792" s="183"/>
      <c r="D792" s="183"/>
      <c r="E792" s="183"/>
      <c r="F792" s="183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  <c r="AA792" s="183"/>
      <c r="AB792" s="183"/>
      <c r="AC792" s="183"/>
      <c r="AD792" s="183"/>
      <c r="AE792" s="183"/>
      <c r="AF792" s="183"/>
      <c r="AG792" s="183"/>
      <c r="AH792" s="183"/>
      <c r="AI792" s="183"/>
      <c r="AJ792" s="183"/>
      <c r="AK792" s="183"/>
      <c r="AL792" s="183"/>
      <c r="AM792" s="183"/>
      <c r="AN792" s="183"/>
    </row>
    <row r="793" spans="1:40" ht="13" customHeight="1">
      <c r="A793" s="183"/>
      <c r="B793" s="183"/>
      <c r="C793" s="183"/>
      <c r="D793" s="183"/>
      <c r="E793" s="183"/>
      <c r="F793" s="183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  <c r="AA793" s="183"/>
      <c r="AB793" s="183"/>
      <c r="AC793" s="183"/>
      <c r="AD793" s="183"/>
      <c r="AE793" s="183"/>
      <c r="AF793" s="183"/>
      <c r="AG793" s="183"/>
      <c r="AH793" s="183"/>
      <c r="AI793" s="183"/>
      <c r="AJ793" s="183"/>
      <c r="AK793" s="183"/>
      <c r="AL793" s="183"/>
      <c r="AM793" s="183"/>
      <c r="AN793" s="183"/>
    </row>
    <row r="794" spans="1:40" ht="13" customHeight="1">
      <c r="A794" s="183"/>
      <c r="B794" s="183"/>
      <c r="C794" s="183"/>
      <c r="D794" s="183"/>
      <c r="E794" s="183"/>
      <c r="F794" s="183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  <c r="AA794" s="183"/>
      <c r="AB794" s="183"/>
      <c r="AC794" s="183"/>
      <c r="AD794" s="183"/>
      <c r="AE794" s="183"/>
      <c r="AF794" s="183"/>
      <c r="AG794" s="183"/>
      <c r="AH794" s="183"/>
      <c r="AI794" s="183"/>
      <c r="AJ794" s="183"/>
      <c r="AK794" s="183"/>
      <c r="AL794" s="183"/>
      <c r="AM794" s="183"/>
      <c r="AN794" s="183"/>
    </row>
    <row r="795" spans="1:40" ht="13" customHeight="1">
      <c r="A795" s="183"/>
      <c r="B795" s="183"/>
      <c r="C795" s="183"/>
      <c r="D795" s="183"/>
      <c r="E795" s="183"/>
      <c r="F795" s="183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  <c r="AA795" s="183"/>
      <c r="AB795" s="183"/>
      <c r="AC795" s="183"/>
      <c r="AD795" s="183"/>
      <c r="AE795" s="183"/>
      <c r="AF795" s="183"/>
      <c r="AG795" s="183"/>
      <c r="AH795" s="183"/>
      <c r="AI795" s="183"/>
      <c r="AJ795" s="183"/>
      <c r="AK795" s="183"/>
      <c r="AL795" s="183"/>
      <c r="AM795" s="183"/>
      <c r="AN795" s="183"/>
    </row>
    <row r="796" spans="1:40" ht="13" customHeight="1">
      <c r="A796" s="183"/>
      <c r="B796" s="183"/>
      <c r="C796" s="183"/>
      <c r="D796" s="183"/>
      <c r="E796" s="183"/>
      <c r="F796" s="183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  <c r="AA796" s="183"/>
      <c r="AB796" s="183"/>
      <c r="AC796" s="183"/>
      <c r="AD796" s="183"/>
      <c r="AE796" s="183"/>
      <c r="AF796" s="183"/>
      <c r="AG796" s="183"/>
      <c r="AH796" s="183"/>
      <c r="AI796" s="183"/>
      <c r="AJ796" s="183"/>
      <c r="AK796" s="183"/>
      <c r="AL796" s="183"/>
      <c r="AM796" s="183"/>
      <c r="AN796" s="183"/>
    </row>
    <row r="797" spans="1:40" ht="13" customHeight="1">
      <c r="A797" s="183"/>
      <c r="B797" s="183"/>
      <c r="C797" s="183"/>
      <c r="D797" s="183"/>
      <c r="E797" s="183"/>
      <c r="F797" s="183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  <c r="AA797" s="183"/>
      <c r="AB797" s="183"/>
      <c r="AC797" s="183"/>
      <c r="AD797" s="183"/>
      <c r="AE797" s="183"/>
      <c r="AF797" s="183"/>
      <c r="AG797" s="183"/>
      <c r="AH797" s="183"/>
      <c r="AI797" s="183"/>
      <c r="AJ797" s="183"/>
      <c r="AK797" s="183"/>
      <c r="AL797" s="183"/>
      <c r="AM797" s="183"/>
      <c r="AN797" s="183"/>
    </row>
    <row r="798" spans="1:40" ht="13" customHeight="1">
      <c r="A798" s="183"/>
      <c r="B798" s="183"/>
      <c r="C798" s="183"/>
      <c r="D798" s="183"/>
      <c r="E798" s="183"/>
      <c r="F798" s="183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  <c r="AA798" s="183"/>
      <c r="AB798" s="183"/>
      <c r="AC798" s="183"/>
      <c r="AD798" s="183"/>
      <c r="AE798" s="183"/>
      <c r="AF798" s="183"/>
      <c r="AG798" s="183"/>
      <c r="AH798" s="183"/>
      <c r="AI798" s="183"/>
      <c r="AJ798" s="183"/>
      <c r="AK798" s="183"/>
      <c r="AL798" s="183"/>
      <c r="AM798" s="183"/>
      <c r="AN798" s="183"/>
    </row>
    <row r="799" spans="1:40" ht="13" customHeight="1">
      <c r="A799" s="183"/>
      <c r="B799" s="183"/>
      <c r="C799" s="183"/>
      <c r="D799" s="183"/>
      <c r="E799" s="183"/>
      <c r="F799" s="183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  <c r="AA799" s="183"/>
      <c r="AB799" s="183"/>
      <c r="AC799" s="183"/>
      <c r="AD799" s="183"/>
      <c r="AE799" s="183"/>
      <c r="AF799" s="183"/>
      <c r="AG799" s="183"/>
      <c r="AH799" s="183"/>
      <c r="AI799" s="183"/>
      <c r="AJ799" s="183"/>
      <c r="AK799" s="183"/>
      <c r="AL799" s="183"/>
      <c r="AM799" s="183"/>
      <c r="AN799" s="183"/>
    </row>
    <row r="800" spans="1:40" ht="13" customHeight="1">
      <c r="A800" s="183"/>
      <c r="B800" s="183"/>
      <c r="C800" s="183"/>
      <c r="D800" s="183"/>
      <c r="E800" s="183"/>
      <c r="F800" s="183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  <c r="AA800" s="183"/>
      <c r="AB800" s="183"/>
      <c r="AC800" s="183"/>
      <c r="AD800" s="183"/>
      <c r="AE800" s="183"/>
      <c r="AF800" s="183"/>
      <c r="AG800" s="183"/>
      <c r="AH800" s="183"/>
      <c r="AI800" s="183"/>
      <c r="AJ800" s="183"/>
      <c r="AK800" s="183"/>
      <c r="AL800" s="183"/>
      <c r="AM800" s="183"/>
      <c r="AN800" s="183"/>
    </row>
    <row r="801" spans="1:40" ht="13" customHeight="1">
      <c r="A801" s="183"/>
      <c r="B801" s="183"/>
      <c r="C801" s="183"/>
      <c r="D801" s="183"/>
      <c r="E801" s="183"/>
      <c r="F801" s="183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  <c r="AA801" s="183"/>
      <c r="AB801" s="183"/>
      <c r="AC801" s="183"/>
      <c r="AD801" s="183"/>
      <c r="AE801" s="183"/>
      <c r="AF801" s="183"/>
      <c r="AG801" s="183"/>
      <c r="AH801" s="183"/>
      <c r="AI801" s="183"/>
      <c r="AJ801" s="183"/>
      <c r="AK801" s="183"/>
      <c r="AL801" s="183"/>
      <c r="AM801" s="183"/>
      <c r="AN801" s="183"/>
    </row>
    <row r="802" spans="1:40" ht="13" customHeight="1">
      <c r="A802" s="183"/>
      <c r="B802" s="183"/>
      <c r="C802" s="183"/>
      <c r="D802" s="183"/>
      <c r="E802" s="183"/>
      <c r="F802" s="183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  <c r="AA802" s="183"/>
      <c r="AB802" s="183"/>
      <c r="AC802" s="183"/>
      <c r="AD802" s="183"/>
      <c r="AE802" s="183"/>
      <c r="AF802" s="183"/>
      <c r="AG802" s="183"/>
      <c r="AH802" s="183"/>
      <c r="AI802" s="183"/>
      <c r="AJ802" s="183"/>
      <c r="AK802" s="183"/>
      <c r="AL802" s="183"/>
      <c r="AM802" s="183"/>
      <c r="AN802" s="183"/>
    </row>
    <row r="803" spans="1:40" ht="13" customHeight="1">
      <c r="A803" s="183"/>
      <c r="B803" s="183"/>
      <c r="C803" s="183"/>
      <c r="D803" s="183"/>
      <c r="E803" s="183"/>
      <c r="F803" s="183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  <c r="AA803" s="183"/>
      <c r="AB803" s="183"/>
      <c r="AC803" s="183"/>
      <c r="AD803" s="183"/>
      <c r="AE803" s="183"/>
      <c r="AF803" s="183"/>
      <c r="AG803" s="183"/>
      <c r="AH803" s="183"/>
      <c r="AI803" s="183"/>
      <c r="AJ803" s="183"/>
      <c r="AK803" s="183"/>
      <c r="AL803" s="183"/>
      <c r="AM803" s="183"/>
      <c r="AN803" s="183"/>
    </row>
    <row r="804" spans="1:40" ht="13" customHeight="1">
      <c r="A804" s="183"/>
      <c r="B804" s="183"/>
      <c r="C804" s="183"/>
      <c r="D804" s="183"/>
      <c r="E804" s="183"/>
      <c r="F804" s="183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  <c r="AA804" s="183"/>
      <c r="AB804" s="183"/>
      <c r="AC804" s="183"/>
      <c r="AD804" s="183"/>
      <c r="AE804" s="183"/>
      <c r="AF804" s="183"/>
      <c r="AG804" s="183"/>
      <c r="AH804" s="183"/>
      <c r="AI804" s="183"/>
      <c r="AJ804" s="183"/>
      <c r="AK804" s="183"/>
      <c r="AL804" s="183"/>
      <c r="AM804" s="183"/>
      <c r="AN804" s="183"/>
    </row>
    <row r="805" spans="1:40" ht="13" customHeight="1">
      <c r="A805" s="183"/>
      <c r="B805" s="183"/>
      <c r="C805" s="183"/>
      <c r="D805" s="183"/>
      <c r="E805" s="183"/>
      <c r="F805" s="183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  <c r="AA805" s="183"/>
      <c r="AB805" s="183"/>
      <c r="AC805" s="183"/>
      <c r="AD805" s="183"/>
      <c r="AE805" s="183"/>
      <c r="AF805" s="183"/>
      <c r="AG805" s="183"/>
      <c r="AH805" s="183"/>
      <c r="AI805" s="183"/>
      <c r="AJ805" s="183"/>
      <c r="AK805" s="183"/>
      <c r="AL805" s="183"/>
      <c r="AM805" s="183"/>
      <c r="AN805" s="183"/>
    </row>
    <row r="806" spans="1:40" ht="13" customHeight="1">
      <c r="A806" s="183"/>
      <c r="B806" s="183"/>
      <c r="C806" s="183"/>
      <c r="D806" s="183"/>
      <c r="E806" s="183"/>
      <c r="F806" s="183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  <c r="AA806" s="183"/>
      <c r="AB806" s="183"/>
      <c r="AC806" s="183"/>
      <c r="AD806" s="183"/>
      <c r="AE806" s="183"/>
      <c r="AF806" s="183"/>
      <c r="AG806" s="183"/>
      <c r="AH806" s="183"/>
      <c r="AI806" s="183"/>
      <c r="AJ806" s="183"/>
      <c r="AK806" s="183"/>
      <c r="AL806" s="183"/>
      <c r="AM806" s="183"/>
      <c r="AN806" s="183"/>
    </row>
    <row r="807" spans="1:40" ht="13" customHeight="1">
      <c r="A807" s="183"/>
      <c r="B807" s="183"/>
      <c r="C807" s="183"/>
      <c r="D807" s="183"/>
      <c r="E807" s="183"/>
      <c r="F807" s="183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  <c r="AA807" s="183"/>
      <c r="AB807" s="183"/>
      <c r="AC807" s="183"/>
      <c r="AD807" s="183"/>
      <c r="AE807" s="183"/>
      <c r="AF807" s="183"/>
      <c r="AG807" s="183"/>
      <c r="AH807" s="183"/>
      <c r="AI807" s="183"/>
      <c r="AJ807" s="183"/>
      <c r="AK807" s="183"/>
      <c r="AL807" s="183"/>
      <c r="AM807" s="183"/>
      <c r="AN807" s="183"/>
    </row>
    <row r="808" spans="1:40" ht="13" customHeight="1">
      <c r="A808" s="183"/>
      <c r="B808" s="183"/>
      <c r="C808" s="183"/>
      <c r="D808" s="183"/>
      <c r="E808" s="183"/>
      <c r="F808" s="183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  <c r="AA808" s="183"/>
      <c r="AB808" s="183"/>
      <c r="AC808" s="183"/>
      <c r="AD808" s="183"/>
      <c r="AE808" s="183"/>
      <c r="AF808" s="183"/>
      <c r="AG808" s="183"/>
      <c r="AH808" s="183"/>
      <c r="AI808" s="183"/>
      <c r="AJ808" s="183"/>
      <c r="AK808" s="183"/>
      <c r="AL808" s="183"/>
      <c r="AM808" s="183"/>
      <c r="AN808" s="183"/>
    </row>
    <row r="809" spans="1:40" ht="13" customHeight="1">
      <c r="A809" s="183"/>
      <c r="B809" s="183"/>
      <c r="C809" s="183"/>
      <c r="D809" s="183"/>
      <c r="E809" s="183"/>
      <c r="F809" s="183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  <c r="AA809" s="183"/>
      <c r="AB809" s="183"/>
      <c r="AC809" s="183"/>
      <c r="AD809" s="183"/>
      <c r="AE809" s="183"/>
      <c r="AF809" s="183"/>
      <c r="AG809" s="183"/>
      <c r="AH809" s="183"/>
      <c r="AI809" s="183"/>
      <c r="AJ809" s="183"/>
      <c r="AK809" s="183"/>
      <c r="AL809" s="183"/>
      <c r="AM809" s="183"/>
      <c r="AN809" s="183"/>
    </row>
    <row r="810" spans="1:40" ht="13" customHeight="1">
      <c r="A810" s="183"/>
      <c r="B810" s="183"/>
      <c r="C810" s="183"/>
      <c r="D810" s="183"/>
      <c r="E810" s="183"/>
      <c r="F810" s="183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  <c r="AA810" s="183"/>
      <c r="AB810" s="183"/>
      <c r="AC810" s="183"/>
      <c r="AD810" s="183"/>
      <c r="AE810" s="183"/>
      <c r="AF810" s="183"/>
      <c r="AG810" s="183"/>
      <c r="AH810" s="183"/>
      <c r="AI810" s="183"/>
      <c r="AJ810" s="183"/>
      <c r="AK810" s="183"/>
      <c r="AL810" s="183"/>
      <c r="AM810" s="183"/>
      <c r="AN810" s="183"/>
    </row>
    <row r="811" spans="1:40" ht="13" customHeight="1">
      <c r="A811" s="183"/>
      <c r="B811" s="183"/>
      <c r="C811" s="183"/>
      <c r="D811" s="183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  <c r="AA811" s="183"/>
      <c r="AB811" s="183"/>
      <c r="AC811" s="183"/>
      <c r="AD811" s="183"/>
      <c r="AE811" s="183"/>
      <c r="AF811" s="183"/>
      <c r="AG811" s="183"/>
      <c r="AH811" s="183"/>
      <c r="AI811" s="183"/>
      <c r="AJ811" s="183"/>
      <c r="AK811" s="183"/>
      <c r="AL811" s="183"/>
      <c r="AM811" s="183"/>
      <c r="AN811" s="183"/>
    </row>
    <row r="812" spans="1:40" ht="13" customHeight="1">
      <c r="A812" s="183"/>
      <c r="B812" s="183"/>
      <c r="C812" s="183"/>
      <c r="D812" s="183"/>
      <c r="E812" s="183"/>
      <c r="F812" s="183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  <c r="AA812" s="183"/>
      <c r="AB812" s="183"/>
      <c r="AC812" s="183"/>
      <c r="AD812" s="183"/>
      <c r="AE812" s="183"/>
      <c r="AF812" s="183"/>
      <c r="AG812" s="183"/>
      <c r="AH812" s="183"/>
      <c r="AI812" s="183"/>
      <c r="AJ812" s="183"/>
      <c r="AK812" s="183"/>
      <c r="AL812" s="183"/>
      <c r="AM812" s="183"/>
      <c r="AN812" s="183"/>
    </row>
    <row r="813" spans="1:40" ht="13" customHeight="1">
      <c r="A813" s="183"/>
      <c r="B813" s="183"/>
      <c r="C813" s="183"/>
      <c r="D813" s="183"/>
      <c r="E813" s="183"/>
      <c r="F813" s="183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  <c r="AA813" s="183"/>
      <c r="AB813" s="183"/>
      <c r="AC813" s="183"/>
      <c r="AD813" s="183"/>
      <c r="AE813" s="183"/>
      <c r="AF813" s="183"/>
      <c r="AG813" s="183"/>
      <c r="AH813" s="183"/>
      <c r="AI813" s="183"/>
      <c r="AJ813" s="183"/>
      <c r="AK813" s="183"/>
      <c r="AL813" s="183"/>
      <c r="AM813" s="183"/>
      <c r="AN813" s="183"/>
    </row>
    <row r="814" spans="1:40" ht="13" customHeight="1">
      <c r="A814" s="183"/>
      <c r="B814" s="183"/>
      <c r="C814" s="183"/>
      <c r="D814" s="183"/>
      <c r="E814" s="183"/>
      <c r="F814" s="183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  <c r="AA814" s="183"/>
      <c r="AB814" s="183"/>
      <c r="AC814" s="183"/>
      <c r="AD814" s="183"/>
      <c r="AE814" s="183"/>
      <c r="AF814" s="183"/>
      <c r="AG814" s="183"/>
      <c r="AH814" s="183"/>
      <c r="AI814" s="183"/>
      <c r="AJ814" s="183"/>
      <c r="AK814" s="183"/>
      <c r="AL814" s="183"/>
      <c r="AM814" s="183"/>
      <c r="AN814" s="183"/>
    </row>
    <row r="815" spans="1:40" ht="13" customHeight="1">
      <c r="A815" s="183"/>
      <c r="B815" s="183"/>
      <c r="C815" s="183"/>
      <c r="D815" s="183"/>
      <c r="E815" s="183"/>
      <c r="F815" s="183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  <c r="AA815" s="183"/>
      <c r="AB815" s="183"/>
      <c r="AC815" s="183"/>
      <c r="AD815" s="183"/>
      <c r="AE815" s="183"/>
      <c r="AF815" s="183"/>
      <c r="AG815" s="183"/>
      <c r="AH815" s="183"/>
      <c r="AI815" s="183"/>
      <c r="AJ815" s="183"/>
      <c r="AK815" s="183"/>
      <c r="AL815" s="183"/>
      <c r="AM815" s="183"/>
      <c r="AN815" s="183"/>
    </row>
    <row r="816" spans="1:40" ht="13" customHeight="1">
      <c r="A816" s="183"/>
      <c r="B816" s="183"/>
      <c r="C816" s="183"/>
      <c r="D816" s="183"/>
      <c r="E816" s="183"/>
      <c r="F816" s="183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  <c r="AA816" s="183"/>
      <c r="AB816" s="183"/>
      <c r="AC816" s="183"/>
      <c r="AD816" s="183"/>
      <c r="AE816" s="183"/>
      <c r="AF816" s="183"/>
      <c r="AG816" s="183"/>
      <c r="AH816" s="183"/>
      <c r="AI816" s="183"/>
      <c r="AJ816" s="183"/>
      <c r="AK816" s="183"/>
      <c r="AL816" s="183"/>
      <c r="AM816" s="183"/>
      <c r="AN816" s="183"/>
    </row>
    <row r="817" spans="1:40" ht="13" customHeight="1">
      <c r="A817" s="183"/>
      <c r="B817" s="183"/>
      <c r="C817" s="183"/>
      <c r="D817" s="183"/>
      <c r="E817" s="183"/>
      <c r="F817" s="183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  <c r="AA817" s="183"/>
      <c r="AB817" s="183"/>
      <c r="AC817" s="183"/>
      <c r="AD817" s="183"/>
      <c r="AE817" s="183"/>
      <c r="AF817" s="183"/>
      <c r="AG817" s="183"/>
      <c r="AH817" s="183"/>
      <c r="AI817" s="183"/>
      <c r="AJ817" s="183"/>
      <c r="AK817" s="183"/>
      <c r="AL817" s="183"/>
      <c r="AM817" s="183"/>
      <c r="AN817" s="183"/>
    </row>
    <row r="818" spans="1:40" ht="13" customHeight="1">
      <c r="A818" s="183"/>
      <c r="B818" s="183"/>
      <c r="C818" s="183"/>
      <c r="D818" s="183"/>
      <c r="E818" s="183"/>
      <c r="F818" s="183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  <c r="AA818" s="183"/>
      <c r="AB818" s="183"/>
      <c r="AC818" s="183"/>
      <c r="AD818" s="183"/>
      <c r="AE818" s="183"/>
      <c r="AF818" s="183"/>
      <c r="AG818" s="183"/>
      <c r="AH818" s="183"/>
      <c r="AI818" s="183"/>
      <c r="AJ818" s="183"/>
      <c r="AK818" s="183"/>
      <c r="AL818" s="183"/>
      <c r="AM818" s="183"/>
      <c r="AN818" s="183"/>
    </row>
    <row r="819" spans="1:40" ht="13" customHeight="1">
      <c r="A819" s="183"/>
      <c r="B819" s="183"/>
      <c r="C819" s="183"/>
      <c r="D819" s="183"/>
      <c r="E819" s="183"/>
      <c r="F819" s="183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  <c r="AA819" s="183"/>
      <c r="AB819" s="183"/>
      <c r="AC819" s="183"/>
      <c r="AD819" s="183"/>
      <c r="AE819" s="183"/>
      <c r="AF819" s="183"/>
      <c r="AG819" s="183"/>
      <c r="AH819" s="183"/>
      <c r="AI819" s="183"/>
      <c r="AJ819" s="183"/>
      <c r="AK819" s="183"/>
      <c r="AL819" s="183"/>
      <c r="AM819" s="183"/>
      <c r="AN819" s="183"/>
    </row>
    <row r="820" spans="1:40" ht="13" customHeight="1">
      <c r="A820" s="183"/>
      <c r="B820" s="183"/>
      <c r="C820" s="183"/>
      <c r="D820" s="183"/>
      <c r="E820" s="183"/>
      <c r="F820" s="183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  <c r="AA820" s="183"/>
      <c r="AB820" s="183"/>
      <c r="AC820" s="183"/>
      <c r="AD820" s="183"/>
      <c r="AE820" s="183"/>
      <c r="AF820" s="183"/>
      <c r="AG820" s="183"/>
      <c r="AH820" s="183"/>
      <c r="AI820" s="183"/>
      <c r="AJ820" s="183"/>
      <c r="AK820" s="183"/>
      <c r="AL820" s="183"/>
      <c r="AM820" s="183"/>
      <c r="AN820" s="183"/>
    </row>
    <row r="821" spans="1:40" ht="13" customHeight="1">
      <c r="A821" s="183"/>
      <c r="B821" s="183"/>
      <c r="C821" s="183"/>
      <c r="D821" s="183"/>
      <c r="E821" s="183"/>
      <c r="F821" s="183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  <c r="AA821" s="183"/>
      <c r="AB821" s="183"/>
      <c r="AC821" s="183"/>
      <c r="AD821" s="183"/>
      <c r="AE821" s="183"/>
      <c r="AF821" s="183"/>
      <c r="AG821" s="183"/>
      <c r="AH821" s="183"/>
      <c r="AI821" s="183"/>
      <c r="AJ821" s="183"/>
      <c r="AK821" s="183"/>
      <c r="AL821" s="183"/>
      <c r="AM821" s="183"/>
      <c r="AN821" s="183"/>
    </row>
    <row r="822" spans="1:40" ht="13" customHeight="1">
      <c r="A822" s="183"/>
      <c r="B822" s="183"/>
      <c r="C822" s="183"/>
      <c r="D822" s="183"/>
      <c r="E822" s="183"/>
      <c r="F822" s="183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  <c r="AA822" s="183"/>
      <c r="AB822" s="183"/>
      <c r="AC822" s="183"/>
      <c r="AD822" s="183"/>
      <c r="AE822" s="183"/>
      <c r="AF822" s="183"/>
      <c r="AG822" s="183"/>
      <c r="AH822" s="183"/>
      <c r="AI822" s="183"/>
      <c r="AJ822" s="183"/>
      <c r="AK822" s="183"/>
      <c r="AL822" s="183"/>
      <c r="AM822" s="183"/>
      <c r="AN822" s="183"/>
    </row>
    <row r="823" spans="1:40" ht="13" customHeight="1">
      <c r="A823" s="183"/>
      <c r="B823" s="183"/>
      <c r="C823" s="183"/>
      <c r="D823" s="183"/>
      <c r="E823" s="183"/>
      <c r="F823" s="183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  <c r="AA823" s="183"/>
      <c r="AB823" s="183"/>
      <c r="AC823" s="183"/>
      <c r="AD823" s="183"/>
      <c r="AE823" s="183"/>
      <c r="AF823" s="183"/>
      <c r="AG823" s="183"/>
      <c r="AH823" s="183"/>
      <c r="AI823" s="183"/>
      <c r="AJ823" s="183"/>
      <c r="AK823" s="183"/>
      <c r="AL823" s="183"/>
      <c r="AM823" s="183"/>
      <c r="AN823" s="183"/>
    </row>
    <row r="824" spans="1:40" ht="13" customHeight="1">
      <c r="A824" s="183"/>
      <c r="B824" s="183"/>
      <c r="C824" s="183"/>
      <c r="D824" s="183"/>
      <c r="E824" s="183"/>
      <c r="F824" s="183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  <c r="AA824" s="183"/>
      <c r="AB824" s="183"/>
      <c r="AC824" s="183"/>
      <c r="AD824" s="183"/>
      <c r="AE824" s="183"/>
      <c r="AF824" s="183"/>
      <c r="AG824" s="183"/>
      <c r="AH824" s="183"/>
      <c r="AI824" s="183"/>
      <c r="AJ824" s="183"/>
      <c r="AK824" s="183"/>
      <c r="AL824" s="183"/>
      <c r="AM824" s="183"/>
      <c r="AN824" s="183"/>
    </row>
    <row r="825" spans="1:40" ht="13" customHeight="1">
      <c r="A825" s="183"/>
      <c r="B825" s="183"/>
      <c r="C825" s="183"/>
      <c r="D825" s="183"/>
      <c r="E825" s="183"/>
      <c r="F825" s="183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  <c r="AA825" s="183"/>
      <c r="AB825" s="183"/>
      <c r="AC825" s="183"/>
      <c r="AD825" s="183"/>
      <c r="AE825" s="183"/>
      <c r="AF825" s="183"/>
      <c r="AG825" s="183"/>
      <c r="AH825" s="183"/>
      <c r="AI825" s="183"/>
      <c r="AJ825" s="183"/>
      <c r="AK825" s="183"/>
      <c r="AL825" s="183"/>
      <c r="AM825" s="183"/>
      <c r="AN825" s="183"/>
    </row>
    <row r="826" spans="1:40" ht="13" customHeight="1">
      <c r="A826" s="183"/>
      <c r="B826" s="183"/>
      <c r="C826" s="183"/>
      <c r="D826" s="183"/>
      <c r="E826" s="183"/>
      <c r="F826" s="183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  <c r="AA826" s="183"/>
      <c r="AB826" s="183"/>
      <c r="AC826" s="183"/>
      <c r="AD826" s="183"/>
      <c r="AE826" s="183"/>
      <c r="AF826" s="183"/>
      <c r="AG826" s="183"/>
      <c r="AH826" s="183"/>
      <c r="AI826" s="183"/>
      <c r="AJ826" s="183"/>
      <c r="AK826" s="183"/>
      <c r="AL826" s="183"/>
      <c r="AM826" s="183"/>
      <c r="AN826" s="183"/>
    </row>
    <row r="827" spans="1:40" ht="13" customHeight="1">
      <c r="A827" s="183"/>
      <c r="B827" s="183"/>
      <c r="C827" s="183"/>
      <c r="D827" s="183"/>
      <c r="E827" s="183"/>
      <c r="F827" s="183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  <c r="AA827" s="183"/>
      <c r="AB827" s="183"/>
      <c r="AC827" s="183"/>
      <c r="AD827" s="183"/>
      <c r="AE827" s="183"/>
      <c r="AF827" s="183"/>
      <c r="AG827" s="183"/>
      <c r="AH827" s="183"/>
      <c r="AI827" s="183"/>
      <c r="AJ827" s="183"/>
      <c r="AK827" s="183"/>
      <c r="AL827" s="183"/>
      <c r="AM827" s="183"/>
      <c r="AN827" s="183"/>
    </row>
    <row r="828" spans="1:40" ht="13" customHeight="1">
      <c r="A828" s="183"/>
      <c r="B828" s="183"/>
      <c r="C828" s="183"/>
      <c r="D828" s="183"/>
      <c r="E828" s="183"/>
      <c r="F828" s="183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  <c r="AA828" s="183"/>
      <c r="AB828" s="183"/>
      <c r="AC828" s="183"/>
      <c r="AD828" s="183"/>
      <c r="AE828" s="183"/>
      <c r="AF828" s="183"/>
      <c r="AG828" s="183"/>
      <c r="AH828" s="183"/>
      <c r="AI828" s="183"/>
      <c r="AJ828" s="183"/>
      <c r="AK828" s="183"/>
      <c r="AL828" s="183"/>
      <c r="AM828" s="183"/>
      <c r="AN828" s="183"/>
    </row>
    <row r="829" spans="1:40" ht="13" customHeight="1">
      <c r="A829" s="183"/>
      <c r="B829" s="183"/>
      <c r="C829" s="183"/>
      <c r="D829" s="183"/>
      <c r="E829" s="183"/>
      <c r="F829" s="183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  <c r="AA829" s="183"/>
      <c r="AB829" s="183"/>
      <c r="AC829" s="183"/>
      <c r="AD829" s="183"/>
      <c r="AE829" s="183"/>
      <c r="AF829" s="183"/>
      <c r="AG829" s="183"/>
      <c r="AH829" s="183"/>
      <c r="AI829" s="183"/>
      <c r="AJ829" s="183"/>
      <c r="AK829" s="183"/>
      <c r="AL829" s="183"/>
      <c r="AM829" s="183"/>
      <c r="AN829" s="183"/>
    </row>
    <row r="830" spans="1:40" ht="13" customHeight="1">
      <c r="A830" s="183"/>
      <c r="B830" s="183"/>
      <c r="C830" s="183"/>
      <c r="D830" s="183"/>
      <c r="E830" s="183"/>
      <c r="F830" s="183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  <c r="AA830" s="183"/>
      <c r="AB830" s="183"/>
      <c r="AC830" s="183"/>
      <c r="AD830" s="183"/>
      <c r="AE830" s="183"/>
      <c r="AF830" s="183"/>
      <c r="AG830" s="183"/>
      <c r="AH830" s="183"/>
      <c r="AI830" s="183"/>
      <c r="AJ830" s="183"/>
      <c r="AK830" s="183"/>
      <c r="AL830" s="183"/>
      <c r="AM830" s="183"/>
      <c r="AN830" s="183"/>
    </row>
    <row r="831" spans="1:40" ht="13" customHeight="1">
      <c r="A831" s="183"/>
      <c r="B831" s="183"/>
      <c r="C831" s="183"/>
      <c r="D831" s="183"/>
      <c r="E831" s="183"/>
      <c r="F831" s="183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  <c r="AA831" s="183"/>
      <c r="AB831" s="183"/>
      <c r="AC831" s="183"/>
      <c r="AD831" s="183"/>
      <c r="AE831" s="183"/>
      <c r="AF831" s="183"/>
      <c r="AG831" s="183"/>
      <c r="AH831" s="183"/>
      <c r="AI831" s="183"/>
      <c r="AJ831" s="183"/>
      <c r="AK831" s="183"/>
      <c r="AL831" s="183"/>
      <c r="AM831" s="183"/>
      <c r="AN831" s="183"/>
    </row>
    <row r="832" spans="1:40" ht="13" customHeight="1">
      <c r="A832" s="183"/>
      <c r="B832" s="183"/>
      <c r="C832" s="183"/>
      <c r="D832" s="183"/>
      <c r="E832" s="183"/>
      <c r="F832" s="183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  <c r="AA832" s="183"/>
      <c r="AB832" s="183"/>
      <c r="AC832" s="183"/>
      <c r="AD832" s="183"/>
      <c r="AE832" s="183"/>
      <c r="AF832" s="183"/>
      <c r="AG832" s="183"/>
      <c r="AH832" s="183"/>
      <c r="AI832" s="183"/>
      <c r="AJ832" s="183"/>
      <c r="AK832" s="183"/>
      <c r="AL832" s="183"/>
      <c r="AM832" s="183"/>
      <c r="AN832" s="183"/>
    </row>
    <row r="833" spans="1:40" ht="13" customHeight="1">
      <c r="A833" s="183"/>
      <c r="B833" s="183"/>
      <c r="C833" s="183"/>
      <c r="D833" s="183"/>
      <c r="E833" s="183"/>
      <c r="F833" s="183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  <c r="AA833" s="183"/>
      <c r="AB833" s="183"/>
      <c r="AC833" s="183"/>
      <c r="AD833" s="183"/>
      <c r="AE833" s="183"/>
      <c r="AF833" s="183"/>
      <c r="AG833" s="183"/>
      <c r="AH833" s="183"/>
      <c r="AI833" s="183"/>
      <c r="AJ833" s="183"/>
      <c r="AK833" s="183"/>
      <c r="AL833" s="183"/>
      <c r="AM833" s="183"/>
      <c r="AN833" s="183"/>
    </row>
    <row r="834" spans="1:40" ht="13" customHeight="1">
      <c r="A834" s="183"/>
      <c r="B834" s="183"/>
      <c r="C834" s="183"/>
      <c r="D834" s="183"/>
      <c r="E834" s="183"/>
      <c r="F834" s="183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  <c r="AA834" s="183"/>
      <c r="AB834" s="183"/>
      <c r="AC834" s="183"/>
      <c r="AD834" s="183"/>
      <c r="AE834" s="183"/>
      <c r="AF834" s="183"/>
      <c r="AG834" s="183"/>
      <c r="AH834" s="183"/>
      <c r="AI834" s="183"/>
      <c r="AJ834" s="183"/>
      <c r="AK834" s="183"/>
      <c r="AL834" s="183"/>
      <c r="AM834" s="183"/>
      <c r="AN834" s="183"/>
    </row>
    <row r="835" spans="1:40" ht="13" customHeight="1">
      <c r="A835" s="183"/>
      <c r="B835" s="183"/>
      <c r="C835" s="183"/>
      <c r="D835" s="183"/>
      <c r="E835" s="183"/>
      <c r="F835" s="183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  <c r="AA835" s="183"/>
      <c r="AB835" s="183"/>
      <c r="AC835" s="183"/>
      <c r="AD835" s="183"/>
      <c r="AE835" s="183"/>
      <c r="AF835" s="183"/>
      <c r="AG835" s="183"/>
      <c r="AH835" s="183"/>
      <c r="AI835" s="183"/>
      <c r="AJ835" s="183"/>
      <c r="AK835" s="183"/>
      <c r="AL835" s="183"/>
      <c r="AM835" s="183"/>
      <c r="AN835" s="183"/>
    </row>
    <row r="836" spans="1:40" ht="13" customHeight="1">
      <c r="A836" s="183"/>
      <c r="B836" s="183"/>
      <c r="C836" s="183"/>
      <c r="D836" s="183"/>
      <c r="E836" s="183"/>
      <c r="F836" s="183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  <c r="AA836" s="183"/>
      <c r="AB836" s="183"/>
      <c r="AC836" s="183"/>
      <c r="AD836" s="183"/>
      <c r="AE836" s="183"/>
      <c r="AF836" s="183"/>
      <c r="AG836" s="183"/>
      <c r="AH836" s="183"/>
      <c r="AI836" s="183"/>
      <c r="AJ836" s="183"/>
      <c r="AK836" s="183"/>
      <c r="AL836" s="183"/>
      <c r="AM836" s="183"/>
      <c r="AN836" s="183"/>
    </row>
    <row r="837" spans="1:40" ht="13" customHeight="1">
      <c r="A837" s="183"/>
      <c r="B837" s="183"/>
      <c r="C837" s="183"/>
      <c r="D837" s="183"/>
      <c r="E837" s="183"/>
      <c r="F837" s="183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  <c r="AA837" s="183"/>
      <c r="AB837" s="183"/>
      <c r="AC837" s="183"/>
      <c r="AD837" s="183"/>
      <c r="AE837" s="183"/>
      <c r="AF837" s="183"/>
      <c r="AG837" s="183"/>
      <c r="AH837" s="183"/>
      <c r="AI837" s="183"/>
      <c r="AJ837" s="183"/>
      <c r="AK837" s="183"/>
      <c r="AL837" s="183"/>
      <c r="AM837" s="183"/>
      <c r="AN837" s="183"/>
    </row>
    <row r="838" spans="1:40" ht="13" customHeight="1">
      <c r="A838" s="183"/>
      <c r="B838" s="183"/>
      <c r="C838" s="183"/>
      <c r="D838" s="183"/>
      <c r="E838" s="183"/>
      <c r="F838" s="183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  <c r="AA838" s="183"/>
      <c r="AB838" s="183"/>
      <c r="AC838" s="183"/>
      <c r="AD838" s="183"/>
      <c r="AE838" s="183"/>
      <c r="AF838" s="183"/>
      <c r="AG838" s="183"/>
      <c r="AH838" s="183"/>
      <c r="AI838" s="183"/>
      <c r="AJ838" s="183"/>
      <c r="AK838" s="183"/>
      <c r="AL838" s="183"/>
      <c r="AM838" s="183"/>
      <c r="AN838" s="183"/>
    </row>
    <row r="839" spans="1:40" ht="13" customHeight="1">
      <c r="A839" s="183"/>
      <c r="B839" s="183"/>
      <c r="C839" s="183"/>
      <c r="D839" s="183"/>
      <c r="E839" s="183"/>
      <c r="F839" s="183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  <c r="AA839" s="183"/>
      <c r="AB839" s="183"/>
      <c r="AC839" s="183"/>
      <c r="AD839" s="183"/>
      <c r="AE839" s="183"/>
      <c r="AF839" s="183"/>
      <c r="AG839" s="183"/>
      <c r="AH839" s="183"/>
      <c r="AI839" s="183"/>
      <c r="AJ839" s="183"/>
      <c r="AK839" s="183"/>
      <c r="AL839" s="183"/>
      <c r="AM839" s="183"/>
      <c r="AN839" s="183"/>
    </row>
    <row r="840" spans="1:40" ht="13" customHeight="1">
      <c r="A840" s="183"/>
      <c r="B840" s="183"/>
      <c r="C840" s="183"/>
      <c r="D840" s="183"/>
      <c r="E840" s="183"/>
      <c r="F840" s="183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  <c r="AA840" s="183"/>
      <c r="AB840" s="183"/>
      <c r="AC840" s="183"/>
      <c r="AD840" s="183"/>
      <c r="AE840" s="183"/>
      <c r="AF840" s="183"/>
      <c r="AG840" s="183"/>
      <c r="AH840" s="183"/>
      <c r="AI840" s="183"/>
      <c r="AJ840" s="183"/>
      <c r="AK840" s="183"/>
      <c r="AL840" s="183"/>
      <c r="AM840" s="183"/>
      <c r="AN840" s="183"/>
    </row>
    <row r="841" spans="1:40" ht="13" customHeight="1">
      <c r="A841" s="183"/>
      <c r="B841" s="183"/>
      <c r="C841" s="183"/>
      <c r="D841" s="183"/>
      <c r="E841" s="183"/>
      <c r="F841" s="183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  <c r="AA841" s="183"/>
      <c r="AB841" s="183"/>
      <c r="AC841" s="183"/>
      <c r="AD841" s="183"/>
      <c r="AE841" s="183"/>
      <c r="AF841" s="183"/>
      <c r="AG841" s="183"/>
      <c r="AH841" s="183"/>
      <c r="AI841" s="183"/>
      <c r="AJ841" s="183"/>
      <c r="AK841" s="183"/>
      <c r="AL841" s="183"/>
      <c r="AM841" s="183"/>
      <c r="AN841" s="183"/>
    </row>
    <row r="842" spans="1:40" ht="13" customHeight="1">
      <c r="A842" s="183"/>
      <c r="B842" s="183"/>
      <c r="C842" s="183"/>
      <c r="D842" s="183"/>
      <c r="E842" s="183"/>
      <c r="F842" s="183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  <c r="AA842" s="183"/>
      <c r="AB842" s="183"/>
      <c r="AC842" s="183"/>
      <c r="AD842" s="183"/>
      <c r="AE842" s="183"/>
      <c r="AF842" s="183"/>
      <c r="AG842" s="183"/>
      <c r="AH842" s="183"/>
      <c r="AI842" s="183"/>
      <c r="AJ842" s="183"/>
      <c r="AK842" s="183"/>
      <c r="AL842" s="183"/>
      <c r="AM842" s="183"/>
      <c r="AN842" s="183"/>
    </row>
    <row r="843" spans="1:40" ht="13" customHeight="1">
      <c r="A843" s="183"/>
      <c r="B843" s="183"/>
      <c r="C843" s="183"/>
      <c r="D843" s="183"/>
      <c r="E843" s="183"/>
      <c r="F843" s="183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  <c r="AA843" s="183"/>
      <c r="AB843" s="183"/>
      <c r="AC843" s="183"/>
      <c r="AD843" s="183"/>
      <c r="AE843" s="183"/>
      <c r="AF843" s="183"/>
      <c r="AG843" s="183"/>
      <c r="AH843" s="183"/>
      <c r="AI843" s="183"/>
      <c r="AJ843" s="183"/>
      <c r="AK843" s="183"/>
      <c r="AL843" s="183"/>
      <c r="AM843" s="183"/>
      <c r="AN843" s="183"/>
    </row>
    <row r="844" spans="1:40" ht="13" customHeight="1">
      <c r="A844" s="183"/>
      <c r="B844" s="183"/>
      <c r="C844" s="183"/>
      <c r="D844" s="183"/>
      <c r="E844" s="183"/>
      <c r="F844" s="183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  <c r="AA844" s="183"/>
      <c r="AB844" s="183"/>
      <c r="AC844" s="183"/>
      <c r="AD844" s="183"/>
      <c r="AE844" s="183"/>
      <c r="AF844" s="183"/>
      <c r="AG844" s="183"/>
      <c r="AH844" s="183"/>
      <c r="AI844" s="183"/>
      <c r="AJ844" s="183"/>
      <c r="AK844" s="183"/>
      <c r="AL844" s="183"/>
      <c r="AM844" s="183"/>
      <c r="AN844" s="183"/>
    </row>
    <row r="845" spans="1:40" ht="13" customHeight="1">
      <c r="A845" s="183"/>
      <c r="B845" s="183"/>
      <c r="C845" s="183"/>
      <c r="D845" s="183"/>
      <c r="E845" s="183"/>
      <c r="F845" s="183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  <c r="AA845" s="183"/>
      <c r="AB845" s="183"/>
      <c r="AC845" s="183"/>
      <c r="AD845" s="183"/>
      <c r="AE845" s="183"/>
      <c r="AF845" s="183"/>
      <c r="AG845" s="183"/>
      <c r="AH845" s="183"/>
      <c r="AI845" s="183"/>
      <c r="AJ845" s="183"/>
      <c r="AK845" s="183"/>
      <c r="AL845" s="183"/>
      <c r="AM845" s="183"/>
      <c r="AN845" s="183"/>
    </row>
    <row r="846" spans="1:40" ht="13" customHeight="1">
      <c r="A846" s="183"/>
      <c r="B846" s="183"/>
      <c r="C846" s="183"/>
      <c r="D846" s="183"/>
      <c r="E846" s="183"/>
      <c r="F846" s="183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  <c r="AA846" s="183"/>
      <c r="AB846" s="183"/>
      <c r="AC846" s="183"/>
      <c r="AD846" s="183"/>
      <c r="AE846" s="183"/>
      <c r="AF846" s="183"/>
      <c r="AG846" s="183"/>
      <c r="AH846" s="183"/>
      <c r="AI846" s="183"/>
      <c r="AJ846" s="183"/>
      <c r="AK846" s="183"/>
      <c r="AL846" s="183"/>
      <c r="AM846" s="183"/>
      <c r="AN846" s="183"/>
    </row>
    <row r="847" spans="1:40" ht="13" customHeight="1">
      <c r="A847" s="183"/>
      <c r="B847" s="183"/>
      <c r="C847" s="183"/>
      <c r="D847" s="183"/>
      <c r="E847" s="183"/>
      <c r="F847" s="183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  <c r="AA847" s="183"/>
      <c r="AB847" s="183"/>
      <c r="AC847" s="183"/>
      <c r="AD847" s="183"/>
      <c r="AE847" s="183"/>
      <c r="AF847" s="183"/>
      <c r="AG847" s="183"/>
      <c r="AH847" s="183"/>
      <c r="AI847" s="183"/>
      <c r="AJ847" s="183"/>
      <c r="AK847" s="183"/>
      <c r="AL847" s="183"/>
      <c r="AM847" s="183"/>
      <c r="AN847" s="183"/>
    </row>
    <row r="848" spans="1:40" ht="13" customHeight="1">
      <c r="A848" s="183"/>
      <c r="B848" s="183"/>
      <c r="C848" s="183"/>
      <c r="D848" s="183"/>
      <c r="E848" s="183"/>
      <c r="F848" s="183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  <c r="AA848" s="183"/>
      <c r="AB848" s="183"/>
      <c r="AC848" s="183"/>
      <c r="AD848" s="183"/>
      <c r="AE848" s="183"/>
      <c r="AF848" s="183"/>
      <c r="AG848" s="183"/>
      <c r="AH848" s="183"/>
      <c r="AI848" s="183"/>
      <c r="AJ848" s="183"/>
      <c r="AK848" s="183"/>
      <c r="AL848" s="183"/>
      <c r="AM848" s="183"/>
      <c r="AN848" s="183"/>
    </row>
    <row r="849" spans="1:40" ht="13" customHeight="1">
      <c r="A849" s="183"/>
      <c r="B849" s="183"/>
      <c r="C849" s="183"/>
      <c r="D849" s="183"/>
      <c r="E849" s="183"/>
      <c r="F849" s="183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  <c r="AA849" s="183"/>
      <c r="AB849" s="183"/>
      <c r="AC849" s="183"/>
      <c r="AD849" s="183"/>
      <c r="AE849" s="183"/>
      <c r="AF849" s="183"/>
      <c r="AG849" s="183"/>
      <c r="AH849" s="183"/>
      <c r="AI849" s="183"/>
      <c r="AJ849" s="183"/>
      <c r="AK849" s="183"/>
      <c r="AL849" s="183"/>
      <c r="AM849" s="183"/>
      <c r="AN849" s="183"/>
    </row>
    <row r="850" spans="1:40" ht="13" customHeight="1">
      <c r="A850" s="183"/>
      <c r="B850" s="183"/>
      <c r="C850" s="183"/>
      <c r="D850" s="183"/>
      <c r="E850" s="183"/>
      <c r="F850" s="183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  <c r="AA850" s="183"/>
      <c r="AB850" s="183"/>
      <c r="AC850" s="183"/>
      <c r="AD850" s="183"/>
      <c r="AE850" s="183"/>
      <c r="AF850" s="183"/>
      <c r="AG850" s="183"/>
      <c r="AH850" s="183"/>
      <c r="AI850" s="183"/>
      <c r="AJ850" s="183"/>
      <c r="AK850" s="183"/>
      <c r="AL850" s="183"/>
      <c r="AM850" s="183"/>
      <c r="AN850" s="183"/>
    </row>
    <row r="851" spans="1:40" ht="13" customHeight="1">
      <c r="A851" s="183"/>
      <c r="B851" s="183"/>
      <c r="C851" s="183"/>
      <c r="D851" s="183"/>
      <c r="E851" s="183"/>
      <c r="F851" s="183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  <c r="AA851" s="183"/>
      <c r="AB851" s="183"/>
      <c r="AC851" s="183"/>
      <c r="AD851" s="183"/>
      <c r="AE851" s="183"/>
      <c r="AF851" s="183"/>
      <c r="AG851" s="183"/>
      <c r="AH851" s="183"/>
      <c r="AI851" s="183"/>
      <c r="AJ851" s="183"/>
      <c r="AK851" s="183"/>
      <c r="AL851" s="183"/>
      <c r="AM851" s="183"/>
      <c r="AN851" s="183"/>
    </row>
    <row r="852" spans="1:40" ht="13" customHeight="1">
      <c r="A852" s="183"/>
      <c r="B852" s="183"/>
      <c r="C852" s="183"/>
      <c r="D852" s="183"/>
      <c r="E852" s="183"/>
      <c r="F852" s="183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  <c r="AA852" s="183"/>
      <c r="AB852" s="183"/>
      <c r="AC852" s="183"/>
      <c r="AD852" s="183"/>
      <c r="AE852" s="183"/>
      <c r="AF852" s="183"/>
      <c r="AG852" s="183"/>
      <c r="AH852" s="183"/>
      <c r="AI852" s="183"/>
      <c r="AJ852" s="183"/>
      <c r="AK852" s="183"/>
      <c r="AL852" s="183"/>
      <c r="AM852" s="183"/>
      <c r="AN852" s="183"/>
    </row>
    <row r="853" spans="1:40" ht="13" customHeight="1">
      <c r="A853" s="183"/>
      <c r="B853" s="183"/>
      <c r="C853" s="183"/>
      <c r="D853" s="183"/>
      <c r="E853" s="183"/>
      <c r="F853" s="183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  <c r="AA853" s="183"/>
      <c r="AB853" s="183"/>
      <c r="AC853" s="183"/>
      <c r="AD853" s="183"/>
      <c r="AE853" s="183"/>
      <c r="AF853" s="183"/>
      <c r="AG853" s="183"/>
      <c r="AH853" s="183"/>
      <c r="AI853" s="183"/>
      <c r="AJ853" s="183"/>
      <c r="AK853" s="183"/>
      <c r="AL853" s="183"/>
      <c r="AM853" s="183"/>
      <c r="AN853" s="183"/>
    </row>
    <row r="854" spans="1:40" ht="13" customHeight="1">
      <c r="A854" s="183"/>
      <c r="B854" s="183"/>
      <c r="C854" s="183"/>
      <c r="D854" s="183"/>
      <c r="E854" s="183"/>
      <c r="F854" s="183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  <c r="AA854" s="183"/>
      <c r="AB854" s="183"/>
      <c r="AC854" s="183"/>
      <c r="AD854" s="183"/>
      <c r="AE854" s="183"/>
      <c r="AF854" s="183"/>
      <c r="AG854" s="183"/>
      <c r="AH854" s="183"/>
      <c r="AI854" s="183"/>
      <c r="AJ854" s="183"/>
      <c r="AK854" s="183"/>
      <c r="AL854" s="183"/>
      <c r="AM854" s="183"/>
      <c r="AN854" s="183"/>
    </row>
    <row r="855" spans="1:40" ht="13" customHeight="1">
      <c r="A855" s="183"/>
      <c r="B855" s="183"/>
      <c r="C855" s="183"/>
      <c r="D855" s="183"/>
      <c r="E855" s="183"/>
      <c r="F855" s="183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  <c r="AA855" s="183"/>
      <c r="AB855" s="183"/>
      <c r="AC855" s="183"/>
      <c r="AD855" s="183"/>
      <c r="AE855" s="183"/>
      <c r="AF855" s="183"/>
      <c r="AG855" s="183"/>
      <c r="AH855" s="183"/>
      <c r="AI855" s="183"/>
      <c r="AJ855" s="183"/>
      <c r="AK855" s="183"/>
      <c r="AL855" s="183"/>
      <c r="AM855" s="183"/>
      <c r="AN855" s="183"/>
    </row>
    <row r="856" spans="1:40" ht="13" customHeight="1">
      <c r="A856" s="183"/>
      <c r="B856" s="183"/>
      <c r="C856" s="183"/>
      <c r="D856" s="183"/>
      <c r="E856" s="183"/>
      <c r="F856" s="183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  <c r="AA856" s="183"/>
      <c r="AB856" s="183"/>
      <c r="AC856" s="183"/>
      <c r="AD856" s="183"/>
      <c r="AE856" s="183"/>
      <c r="AF856" s="183"/>
      <c r="AG856" s="183"/>
      <c r="AH856" s="183"/>
      <c r="AI856" s="183"/>
      <c r="AJ856" s="183"/>
      <c r="AK856" s="183"/>
      <c r="AL856" s="183"/>
      <c r="AM856" s="183"/>
      <c r="AN856" s="183"/>
    </row>
    <row r="857" spans="1:40" ht="13" customHeight="1">
      <c r="A857" s="183"/>
      <c r="B857" s="183"/>
      <c r="C857" s="183"/>
      <c r="D857" s="183"/>
      <c r="E857" s="183"/>
      <c r="F857" s="183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  <c r="AA857" s="183"/>
      <c r="AB857" s="183"/>
      <c r="AC857" s="183"/>
      <c r="AD857" s="183"/>
      <c r="AE857" s="183"/>
      <c r="AF857" s="183"/>
      <c r="AG857" s="183"/>
      <c r="AH857" s="183"/>
      <c r="AI857" s="183"/>
      <c r="AJ857" s="183"/>
      <c r="AK857" s="183"/>
      <c r="AL857" s="183"/>
      <c r="AM857" s="183"/>
      <c r="AN857" s="183"/>
    </row>
    <row r="858" spans="1:40" ht="13" customHeight="1">
      <c r="A858" s="183"/>
      <c r="B858" s="183"/>
      <c r="C858" s="183"/>
      <c r="D858" s="183"/>
      <c r="E858" s="183"/>
      <c r="F858" s="183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  <c r="AA858" s="183"/>
      <c r="AB858" s="183"/>
      <c r="AC858" s="183"/>
      <c r="AD858" s="183"/>
      <c r="AE858" s="183"/>
      <c r="AF858" s="183"/>
      <c r="AG858" s="183"/>
      <c r="AH858" s="183"/>
      <c r="AI858" s="183"/>
      <c r="AJ858" s="183"/>
      <c r="AK858" s="183"/>
      <c r="AL858" s="183"/>
      <c r="AM858" s="183"/>
      <c r="AN858" s="183"/>
    </row>
    <row r="859" spans="1:40" ht="13" customHeight="1">
      <c r="A859" s="183"/>
      <c r="B859" s="183"/>
      <c r="C859" s="183"/>
      <c r="D859" s="183"/>
      <c r="E859" s="183"/>
      <c r="F859" s="183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  <c r="AA859" s="183"/>
      <c r="AB859" s="183"/>
      <c r="AC859" s="183"/>
      <c r="AD859" s="183"/>
      <c r="AE859" s="183"/>
      <c r="AF859" s="183"/>
      <c r="AG859" s="183"/>
      <c r="AH859" s="183"/>
      <c r="AI859" s="183"/>
      <c r="AJ859" s="183"/>
      <c r="AK859" s="183"/>
      <c r="AL859" s="183"/>
      <c r="AM859" s="183"/>
      <c r="AN859" s="183"/>
    </row>
    <row r="860" spans="1:40" ht="13" customHeight="1">
      <c r="A860" s="183"/>
      <c r="B860" s="183"/>
      <c r="C860" s="183"/>
      <c r="D860" s="183"/>
      <c r="E860" s="183"/>
      <c r="F860" s="183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  <c r="AA860" s="183"/>
      <c r="AB860" s="183"/>
      <c r="AC860" s="183"/>
      <c r="AD860" s="183"/>
      <c r="AE860" s="183"/>
      <c r="AF860" s="183"/>
      <c r="AG860" s="183"/>
      <c r="AH860" s="183"/>
      <c r="AI860" s="183"/>
      <c r="AJ860" s="183"/>
      <c r="AK860" s="183"/>
      <c r="AL860" s="183"/>
      <c r="AM860" s="183"/>
      <c r="AN860" s="183"/>
    </row>
    <row r="861" spans="1:40" ht="13" customHeight="1">
      <c r="A861" s="183"/>
      <c r="B861" s="183"/>
      <c r="C861" s="183"/>
      <c r="D861" s="183"/>
      <c r="E861" s="183"/>
      <c r="F861" s="183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  <c r="AA861" s="183"/>
      <c r="AB861" s="183"/>
      <c r="AC861" s="183"/>
      <c r="AD861" s="183"/>
      <c r="AE861" s="183"/>
      <c r="AF861" s="183"/>
      <c r="AG861" s="183"/>
      <c r="AH861" s="183"/>
      <c r="AI861" s="183"/>
      <c r="AJ861" s="183"/>
      <c r="AK861" s="183"/>
      <c r="AL861" s="183"/>
      <c r="AM861" s="183"/>
      <c r="AN861" s="183"/>
    </row>
    <row r="862" spans="1:40" ht="13" customHeight="1">
      <c r="A862" s="183"/>
      <c r="B862" s="183"/>
      <c r="C862" s="183"/>
      <c r="D862" s="183"/>
      <c r="E862" s="183"/>
      <c r="F862" s="183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  <c r="AA862" s="183"/>
      <c r="AB862" s="183"/>
      <c r="AC862" s="183"/>
      <c r="AD862" s="183"/>
      <c r="AE862" s="183"/>
      <c r="AF862" s="183"/>
      <c r="AG862" s="183"/>
      <c r="AH862" s="183"/>
      <c r="AI862" s="183"/>
      <c r="AJ862" s="183"/>
      <c r="AK862" s="183"/>
      <c r="AL862" s="183"/>
      <c r="AM862" s="183"/>
      <c r="AN862" s="183"/>
    </row>
    <row r="863" spans="1:40" ht="13" customHeight="1">
      <c r="A863" s="183"/>
      <c r="B863" s="183"/>
      <c r="C863" s="183"/>
      <c r="D863" s="183"/>
      <c r="E863" s="183"/>
      <c r="F863" s="183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  <c r="AA863" s="183"/>
      <c r="AB863" s="183"/>
      <c r="AC863" s="183"/>
      <c r="AD863" s="183"/>
      <c r="AE863" s="183"/>
      <c r="AF863" s="183"/>
      <c r="AG863" s="183"/>
      <c r="AH863" s="183"/>
      <c r="AI863" s="183"/>
      <c r="AJ863" s="183"/>
      <c r="AK863" s="183"/>
      <c r="AL863" s="183"/>
      <c r="AM863" s="183"/>
      <c r="AN863" s="183"/>
    </row>
    <row r="864" spans="1:40" ht="13" customHeight="1">
      <c r="A864" s="183"/>
      <c r="B864" s="183"/>
      <c r="C864" s="183"/>
      <c r="D864" s="183"/>
      <c r="E864" s="183"/>
      <c r="F864" s="183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  <c r="AA864" s="183"/>
      <c r="AB864" s="183"/>
      <c r="AC864" s="183"/>
      <c r="AD864" s="183"/>
      <c r="AE864" s="183"/>
      <c r="AF864" s="183"/>
      <c r="AG864" s="183"/>
      <c r="AH864" s="183"/>
      <c r="AI864" s="183"/>
      <c r="AJ864" s="183"/>
      <c r="AK864" s="183"/>
      <c r="AL864" s="183"/>
      <c r="AM864" s="183"/>
      <c r="AN864" s="183"/>
    </row>
    <row r="865" spans="1:40" ht="13" customHeight="1">
      <c r="A865" s="183"/>
      <c r="B865" s="183"/>
      <c r="C865" s="183"/>
      <c r="D865" s="183"/>
      <c r="E865" s="183"/>
      <c r="F865" s="183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  <c r="AA865" s="183"/>
      <c r="AB865" s="183"/>
      <c r="AC865" s="183"/>
      <c r="AD865" s="183"/>
      <c r="AE865" s="183"/>
      <c r="AF865" s="183"/>
      <c r="AG865" s="183"/>
      <c r="AH865" s="183"/>
      <c r="AI865" s="183"/>
      <c r="AJ865" s="183"/>
      <c r="AK865" s="183"/>
      <c r="AL865" s="183"/>
      <c r="AM865" s="183"/>
      <c r="AN865" s="183"/>
    </row>
    <row r="866" spans="1:40" ht="13" customHeight="1">
      <c r="A866" s="183"/>
      <c r="B866" s="183"/>
      <c r="C866" s="183"/>
      <c r="D866" s="183"/>
      <c r="E866" s="183"/>
      <c r="F866" s="183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  <c r="AA866" s="183"/>
      <c r="AB866" s="183"/>
      <c r="AC866" s="183"/>
      <c r="AD866" s="183"/>
      <c r="AE866" s="183"/>
      <c r="AF866" s="183"/>
      <c r="AG866" s="183"/>
      <c r="AH866" s="183"/>
      <c r="AI866" s="183"/>
      <c r="AJ866" s="183"/>
      <c r="AK866" s="183"/>
      <c r="AL866" s="183"/>
      <c r="AM866" s="183"/>
      <c r="AN866" s="183"/>
    </row>
    <row r="867" spans="1:40" ht="13" customHeight="1">
      <c r="A867" s="183"/>
      <c r="B867" s="183"/>
      <c r="C867" s="183"/>
      <c r="D867" s="183"/>
      <c r="E867" s="183"/>
      <c r="F867" s="183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  <c r="AA867" s="183"/>
      <c r="AB867" s="183"/>
      <c r="AC867" s="183"/>
      <c r="AD867" s="183"/>
      <c r="AE867" s="183"/>
      <c r="AF867" s="183"/>
      <c r="AG867" s="183"/>
      <c r="AH867" s="183"/>
      <c r="AI867" s="183"/>
      <c r="AJ867" s="183"/>
      <c r="AK867" s="183"/>
      <c r="AL867" s="183"/>
      <c r="AM867" s="183"/>
      <c r="AN867" s="183"/>
    </row>
    <row r="868" spans="1:40" ht="13" customHeight="1">
      <c r="A868" s="183"/>
      <c r="B868" s="183"/>
      <c r="C868" s="183"/>
      <c r="D868" s="183"/>
      <c r="E868" s="183"/>
      <c r="F868" s="183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  <c r="AA868" s="183"/>
      <c r="AB868" s="183"/>
      <c r="AC868" s="183"/>
      <c r="AD868" s="183"/>
      <c r="AE868" s="183"/>
      <c r="AF868" s="183"/>
      <c r="AG868" s="183"/>
      <c r="AH868" s="183"/>
      <c r="AI868" s="183"/>
      <c r="AJ868" s="183"/>
      <c r="AK868" s="183"/>
      <c r="AL868" s="183"/>
      <c r="AM868" s="183"/>
      <c r="AN868" s="183"/>
    </row>
    <row r="869" spans="1:40" ht="13" customHeight="1">
      <c r="A869" s="183"/>
      <c r="B869" s="183"/>
      <c r="C869" s="183"/>
      <c r="D869" s="183"/>
      <c r="E869" s="183"/>
      <c r="F869" s="183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  <c r="AA869" s="183"/>
      <c r="AB869" s="183"/>
      <c r="AC869" s="183"/>
      <c r="AD869" s="183"/>
      <c r="AE869" s="183"/>
      <c r="AF869" s="183"/>
      <c r="AG869" s="183"/>
      <c r="AH869" s="183"/>
      <c r="AI869" s="183"/>
      <c r="AJ869" s="183"/>
      <c r="AK869" s="183"/>
      <c r="AL869" s="183"/>
      <c r="AM869" s="183"/>
      <c r="AN869" s="183"/>
    </row>
    <row r="870" spans="1:40" ht="13" customHeight="1">
      <c r="A870" s="183"/>
      <c r="B870" s="183"/>
      <c r="C870" s="183"/>
      <c r="D870" s="183"/>
      <c r="E870" s="183"/>
      <c r="F870" s="183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  <c r="AA870" s="183"/>
      <c r="AB870" s="183"/>
      <c r="AC870" s="183"/>
      <c r="AD870" s="183"/>
      <c r="AE870" s="183"/>
      <c r="AF870" s="183"/>
      <c r="AG870" s="183"/>
      <c r="AH870" s="183"/>
      <c r="AI870" s="183"/>
      <c r="AJ870" s="183"/>
      <c r="AK870" s="183"/>
      <c r="AL870" s="183"/>
      <c r="AM870" s="183"/>
      <c r="AN870" s="183"/>
    </row>
    <row r="871" spans="1:40" ht="13" customHeight="1">
      <c r="A871" s="183"/>
      <c r="B871" s="183"/>
      <c r="C871" s="183"/>
      <c r="D871" s="183"/>
      <c r="E871" s="183"/>
      <c r="F871" s="183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  <c r="AA871" s="183"/>
      <c r="AB871" s="183"/>
      <c r="AC871" s="183"/>
      <c r="AD871" s="183"/>
      <c r="AE871" s="183"/>
      <c r="AF871" s="183"/>
      <c r="AG871" s="183"/>
      <c r="AH871" s="183"/>
      <c r="AI871" s="183"/>
      <c r="AJ871" s="183"/>
      <c r="AK871" s="183"/>
      <c r="AL871" s="183"/>
      <c r="AM871" s="183"/>
      <c r="AN871" s="183"/>
    </row>
    <row r="872" spans="1:40" ht="13" customHeight="1">
      <c r="A872" s="183"/>
      <c r="B872" s="183"/>
      <c r="C872" s="183"/>
      <c r="D872" s="183"/>
      <c r="E872" s="183"/>
      <c r="F872" s="183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  <c r="AA872" s="183"/>
      <c r="AB872" s="183"/>
      <c r="AC872" s="183"/>
      <c r="AD872" s="183"/>
      <c r="AE872" s="183"/>
      <c r="AF872" s="183"/>
      <c r="AG872" s="183"/>
      <c r="AH872" s="183"/>
      <c r="AI872" s="183"/>
      <c r="AJ872" s="183"/>
      <c r="AK872" s="183"/>
      <c r="AL872" s="183"/>
      <c r="AM872" s="183"/>
      <c r="AN872" s="183"/>
    </row>
    <row r="873" spans="1:40" ht="13" customHeight="1">
      <c r="A873" s="183"/>
      <c r="B873" s="183"/>
      <c r="C873" s="183"/>
      <c r="D873" s="183"/>
      <c r="E873" s="183"/>
      <c r="F873" s="183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  <c r="AA873" s="183"/>
      <c r="AB873" s="183"/>
      <c r="AC873" s="183"/>
      <c r="AD873" s="183"/>
      <c r="AE873" s="183"/>
      <c r="AF873" s="183"/>
      <c r="AG873" s="183"/>
      <c r="AH873" s="183"/>
      <c r="AI873" s="183"/>
      <c r="AJ873" s="183"/>
      <c r="AK873" s="183"/>
      <c r="AL873" s="183"/>
      <c r="AM873" s="183"/>
      <c r="AN873" s="183"/>
    </row>
    <row r="874" spans="1:40" ht="13" customHeight="1">
      <c r="A874" s="183"/>
      <c r="B874" s="183"/>
      <c r="C874" s="183"/>
      <c r="D874" s="183"/>
      <c r="E874" s="183"/>
      <c r="F874" s="183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  <c r="AA874" s="183"/>
      <c r="AB874" s="183"/>
      <c r="AC874" s="183"/>
      <c r="AD874" s="183"/>
      <c r="AE874" s="183"/>
      <c r="AF874" s="183"/>
      <c r="AG874" s="183"/>
      <c r="AH874" s="183"/>
      <c r="AI874" s="183"/>
      <c r="AJ874" s="183"/>
      <c r="AK874" s="183"/>
      <c r="AL874" s="183"/>
      <c r="AM874" s="183"/>
      <c r="AN874" s="183"/>
    </row>
    <row r="875" spans="1:40" ht="13" customHeight="1">
      <c r="A875" s="183"/>
      <c r="B875" s="183"/>
      <c r="C875" s="183"/>
      <c r="D875" s="183"/>
      <c r="E875" s="183"/>
      <c r="F875" s="183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  <c r="AA875" s="183"/>
      <c r="AB875" s="183"/>
      <c r="AC875" s="183"/>
      <c r="AD875" s="183"/>
      <c r="AE875" s="183"/>
      <c r="AF875" s="183"/>
      <c r="AG875" s="183"/>
      <c r="AH875" s="183"/>
      <c r="AI875" s="183"/>
      <c r="AJ875" s="183"/>
      <c r="AK875" s="183"/>
      <c r="AL875" s="183"/>
      <c r="AM875" s="183"/>
      <c r="AN875" s="183"/>
    </row>
    <row r="876" spans="1:40" ht="13" customHeight="1">
      <c r="A876" s="183"/>
      <c r="B876" s="183"/>
      <c r="C876" s="183"/>
      <c r="D876" s="183"/>
      <c r="E876" s="183"/>
      <c r="F876" s="183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  <c r="AA876" s="183"/>
      <c r="AB876" s="183"/>
      <c r="AC876" s="183"/>
      <c r="AD876" s="183"/>
      <c r="AE876" s="183"/>
      <c r="AF876" s="183"/>
      <c r="AG876" s="183"/>
      <c r="AH876" s="183"/>
      <c r="AI876" s="183"/>
      <c r="AJ876" s="183"/>
      <c r="AK876" s="183"/>
      <c r="AL876" s="183"/>
      <c r="AM876" s="183"/>
      <c r="AN876" s="183"/>
    </row>
    <row r="877" spans="1:40" ht="13" customHeight="1">
      <c r="A877" s="183"/>
      <c r="B877" s="183"/>
      <c r="C877" s="183"/>
      <c r="D877" s="183"/>
      <c r="E877" s="183"/>
      <c r="F877" s="183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  <c r="AA877" s="183"/>
      <c r="AB877" s="183"/>
      <c r="AC877" s="183"/>
      <c r="AD877" s="183"/>
      <c r="AE877" s="183"/>
      <c r="AF877" s="183"/>
      <c r="AG877" s="183"/>
      <c r="AH877" s="183"/>
      <c r="AI877" s="183"/>
      <c r="AJ877" s="183"/>
      <c r="AK877" s="183"/>
      <c r="AL877" s="183"/>
      <c r="AM877" s="183"/>
      <c r="AN877" s="183"/>
    </row>
    <row r="878" spans="1:40" ht="13" customHeight="1">
      <c r="A878" s="183"/>
      <c r="B878" s="183"/>
      <c r="C878" s="183"/>
      <c r="D878" s="183"/>
      <c r="E878" s="183"/>
      <c r="F878" s="183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  <c r="AA878" s="183"/>
      <c r="AB878" s="183"/>
      <c r="AC878" s="183"/>
      <c r="AD878" s="183"/>
      <c r="AE878" s="183"/>
      <c r="AF878" s="183"/>
      <c r="AG878" s="183"/>
      <c r="AH878" s="183"/>
      <c r="AI878" s="183"/>
      <c r="AJ878" s="183"/>
      <c r="AK878" s="183"/>
      <c r="AL878" s="183"/>
      <c r="AM878" s="183"/>
      <c r="AN878" s="183"/>
    </row>
    <row r="879" spans="1:40" ht="13" customHeight="1">
      <c r="A879" s="183"/>
      <c r="B879" s="183"/>
      <c r="C879" s="183"/>
      <c r="D879" s="183"/>
      <c r="E879" s="183"/>
      <c r="F879" s="183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  <c r="AA879" s="183"/>
      <c r="AB879" s="183"/>
      <c r="AC879" s="183"/>
      <c r="AD879" s="183"/>
      <c r="AE879" s="183"/>
      <c r="AF879" s="183"/>
      <c r="AG879" s="183"/>
      <c r="AH879" s="183"/>
      <c r="AI879" s="183"/>
      <c r="AJ879" s="183"/>
      <c r="AK879" s="183"/>
      <c r="AL879" s="183"/>
      <c r="AM879" s="183"/>
      <c r="AN879" s="183"/>
    </row>
    <row r="880" spans="1:40" ht="13" customHeight="1">
      <c r="A880" s="183"/>
      <c r="B880" s="183"/>
      <c r="C880" s="183"/>
      <c r="D880" s="183"/>
      <c r="E880" s="183"/>
      <c r="F880" s="183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  <c r="AA880" s="183"/>
      <c r="AB880" s="183"/>
      <c r="AC880" s="183"/>
      <c r="AD880" s="183"/>
      <c r="AE880" s="183"/>
      <c r="AF880" s="183"/>
      <c r="AG880" s="183"/>
      <c r="AH880" s="183"/>
      <c r="AI880" s="183"/>
      <c r="AJ880" s="183"/>
      <c r="AK880" s="183"/>
      <c r="AL880" s="183"/>
      <c r="AM880" s="183"/>
      <c r="AN880" s="183"/>
    </row>
    <row r="881" spans="1:40" ht="13" customHeight="1">
      <c r="A881" s="183"/>
      <c r="B881" s="183"/>
      <c r="C881" s="183"/>
      <c r="D881" s="183"/>
      <c r="E881" s="183"/>
      <c r="F881" s="183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  <c r="AA881" s="183"/>
      <c r="AB881" s="183"/>
      <c r="AC881" s="183"/>
      <c r="AD881" s="183"/>
      <c r="AE881" s="183"/>
      <c r="AF881" s="183"/>
      <c r="AG881" s="183"/>
      <c r="AH881" s="183"/>
      <c r="AI881" s="183"/>
      <c r="AJ881" s="183"/>
      <c r="AK881" s="183"/>
      <c r="AL881" s="183"/>
      <c r="AM881" s="183"/>
      <c r="AN881" s="183"/>
    </row>
    <row r="882" spans="1:40" ht="13" customHeight="1">
      <c r="A882" s="183"/>
      <c r="B882" s="183"/>
      <c r="C882" s="183"/>
      <c r="D882" s="183"/>
      <c r="E882" s="183"/>
      <c r="F882" s="183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  <c r="AA882" s="183"/>
      <c r="AB882" s="183"/>
      <c r="AC882" s="183"/>
      <c r="AD882" s="183"/>
      <c r="AE882" s="183"/>
      <c r="AF882" s="183"/>
      <c r="AG882" s="183"/>
      <c r="AH882" s="183"/>
      <c r="AI882" s="183"/>
      <c r="AJ882" s="183"/>
      <c r="AK882" s="183"/>
      <c r="AL882" s="183"/>
      <c r="AM882" s="183"/>
      <c r="AN882" s="183"/>
    </row>
    <row r="883" spans="1:40" ht="13" customHeight="1">
      <c r="A883" s="183"/>
      <c r="B883" s="183"/>
      <c r="C883" s="183"/>
      <c r="D883" s="183"/>
      <c r="E883" s="183"/>
      <c r="F883" s="183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  <c r="AA883" s="183"/>
      <c r="AB883" s="183"/>
      <c r="AC883" s="183"/>
      <c r="AD883" s="183"/>
      <c r="AE883" s="183"/>
      <c r="AF883" s="183"/>
      <c r="AG883" s="183"/>
      <c r="AH883" s="183"/>
      <c r="AI883" s="183"/>
      <c r="AJ883" s="183"/>
      <c r="AK883" s="183"/>
      <c r="AL883" s="183"/>
      <c r="AM883" s="183"/>
      <c r="AN883" s="183"/>
    </row>
    <row r="884" spans="1:40" ht="13" customHeight="1">
      <c r="A884" s="183"/>
      <c r="B884" s="183"/>
      <c r="C884" s="183"/>
      <c r="D884" s="183"/>
      <c r="E884" s="183"/>
      <c r="F884" s="183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  <c r="AA884" s="183"/>
      <c r="AB884" s="183"/>
      <c r="AC884" s="183"/>
      <c r="AD884" s="183"/>
      <c r="AE884" s="183"/>
      <c r="AF884" s="183"/>
      <c r="AG884" s="183"/>
      <c r="AH884" s="183"/>
      <c r="AI884" s="183"/>
      <c r="AJ884" s="183"/>
      <c r="AK884" s="183"/>
      <c r="AL884" s="183"/>
      <c r="AM884" s="183"/>
      <c r="AN884" s="183"/>
    </row>
    <row r="885" spans="1:40" ht="13" customHeight="1">
      <c r="A885" s="183"/>
      <c r="B885" s="183"/>
      <c r="C885" s="183"/>
      <c r="D885" s="183"/>
      <c r="E885" s="183"/>
      <c r="F885" s="183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  <c r="AA885" s="183"/>
      <c r="AB885" s="183"/>
      <c r="AC885" s="183"/>
      <c r="AD885" s="183"/>
      <c r="AE885" s="183"/>
      <c r="AF885" s="183"/>
      <c r="AG885" s="183"/>
      <c r="AH885" s="183"/>
      <c r="AI885" s="183"/>
      <c r="AJ885" s="183"/>
      <c r="AK885" s="183"/>
      <c r="AL885" s="183"/>
      <c r="AM885" s="183"/>
      <c r="AN885" s="183"/>
    </row>
    <row r="886" spans="1:40" ht="13" customHeight="1">
      <c r="A886" s="183"/>
      <c r="B886" s="183"/>
      <c r="C886" s="183"/>
      <c r="D886" s="183"/>
      <c r="E886" s="183"/>
      <c r="F886" s="183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  <c r="AA886" s="183"/>
      <c r="AB886" s="183"/>
      <c r="AC886" s="183"/>
      <c r="AD886" s="183"/>
      <c r="AE886" s="183"/>
      <c r="AF886" s="183"/>
      <c r="AG886" s="183"/>
      <c r="AH886" s="183"/>
      <c r="AI886" s="183"/>
      <c r="AJ886" s="183"/>
      <c r="AK886" s="183"/>
      <c r="AL886" s="183"/>
      <c r="AM886" s="183"/>
      <c r="AN886" s="183"/>
    </row>
    <row r="887" spans="1:40" ht="13" customHeight="1">
      <c r="A887" s="183"/>
      <c r="B887" s="183"/>
      <c r="C887" s="183"/>
      <c r="D887" s="183"/>
      <c r="E887" s="183"/>
      <c r="F887" s="183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  <c r="AA887" s="183"/>
      <c r="AB887" s="183"/>
      <c r="AC887" s="183"/>
      <c r="AD887" s="183"/>
      <c r="AE887" s="183"/>
      <c r="AF887" s="183"/>
      <c r="AG887" s="183"/>
      <c r="AH887" s="183"/>
      <c r="AI887" s="183"/>
      <c r="AJ887" s="183"/>
      <c r="AK887" s="183"/>
      <c r="AL887" s="183"/>
      <c r="AM887" s="183"/>
      <c r="AN887" s="183"/>
    </row>
    <row r="888" spans="1:40" ht="13" customHeight="1">
      <c r="A888" s="183"/>
      <c r="B888" s="183"/>
      <c r="C888" s="183"/>
      <c r="D888" s="183"/>
      <c r="E888" s="183"/>
      <c r="F888" s="183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  <c r="AA888" s="183"/>
      <c r="AB888" s="183"/>
      <c r="AC888" s="183"/>
      <c r="AD888" s="183"/>
      <c r="AE888" s="183"/>
      <c r="AF888" s="183"/>
      <c r="AG888" s="183"/>
      <c r="AH888" s="183"/>
      <c r="AI888" s="183"/>
      <c r="AJ888" s="183"/>
      <c r="AK888" s="183"/>
      <c r="AL888" s="183"/>
      <c r="AM888" s="183"/>
      <c r="AN888" s="183"/>
    </row>
    <row r="889" spans="1:40" ht="13" customHeight="1">
      <c r="A889" s="183"/>
      <c r="B889" s="183"/>
      <c r="C889" s="183"/>
      <c r="D889" s="183"/>
      <c r="E889" s="183"/>
      <c r="F889" s="183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  <c r="AA889" s="183"/>
      <c r="AB889" s="183"/>
      <c r="AC889" s="183"/>
      <c r="AD889" s="183"/>
      <c r="AE889" s="183"/>
      <c r="AF889" s="183"/>
      <c r="AG889" s="183"/>
      <c r="AH889" s="183"/>
      <c r="AI889" s="183"/>
      <c r="AJ889" s="183"/>
      <c r="AK889" s="183"/>
      <c r="AL889" s="183"/>
      <c r="AM889" s="183"/>
      <c r="AN889" s="183"/>
    </row>
    <row r="890" spans="1:40" ht="13" customHeight="1">
      <c r="A890" s="183"/>
      <c r="B890" s="183"/>
      <c r="C890" s="183"/>
      <c r="D890" s="183"/>
      <c r="E890" s="183"/>
      <c r="F890" s="183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  <c r="AA890" s="183"/>
      <c r="AB890" s="183"/>
      <c r="AC890" s="183"/>
      <c r="AD890" s="183"/>
      <c r="AE890" s="183"/>
      <c r="AF890" s="183"/>
      <c r="AG890" s="183"/>
      <c r="AH890" s="183"/>
      <c r="AI890" s="183"/>
      <c r="AJ890" s="183"/>
      <c r="AK890" s="183"/>
      <c r="AL890" s="183"/>
      <c r="AM890" s="183"/>
      <c r="AN890" s="183"/>
    </row>
    <row r="891" spans="1:40" ht="13" customHeight="1">
      <c r="A891" s="183"/>
      <c r="B891" s="183"/>
      <c r="C891" s="183"/>
      <c r="D891" s="183"/>
      <c r="E891" s="183"/>
      <c r="F891" s="183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  <c r="AA891" s="183"/>
      <c r="AB891" s="183"/>
      <c r="AC891" s="183"/>
      <c r="AD891" s="183"/>
      <c r="AE891" s="183"/>
      <c r="AF891" s="183"/>
      <c r="AG891" s="183"/>
      <c r="AH891" s="183"/>
      <c r="AI891" s="183"/>
      <c r="AJ891" s="183"/>
      <c r="AK891" s="183"/>
      <c r="AL891" s="183"/>
      <c r="AM891" s="183"/>
      <c r="AN891" s="183"/>
    </row>
    <row r="892" spans="1:40" ht="13" customHeight="1">
      <c r="A892" s="183"/>
      <c r="B892" s="183"/>
      <c r="C892" s="183"/>
      <c r="D892" s="183"/>
      <c r="E892" s="183"/>
      <c r="F892" s="183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  <c r="AA892" s="183"/>
      <c r="AB892" s="183"/>
      <c r="AC892" s="183"/>
      <c r="AD892" s="183"/>
      <c r="AE892" s="183"/>
      <c r="AF892" s="183"/>
      <c r="AG892" s="183"/>
      <c r="AH892" s="183"/>
      <c r="AI892" s="183"/>
      <c r="AJ892" s="183"/>
      <c r="AK892" s="183"/>
      <c r="AL892" s="183"/>
      <c r="AM892" s="183"/>
      <c r="AN892" s="183"/>
    </row>
    <row r="893" spans="1:40" ht="13" customHeight="1">
      <c r="A893" s="183"/>
      <c r="B893" s="183"/>
      <c r="C893" s="183"/>
      <c r="D893" s="183"/>
      <c r="E893" s="183"/>
      <c r="F893" s="183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  <c r="AA893" s="183"/>
      <c r="AB893" s="183"/>
      <c r="AC893" s="183"/>
      <c r="AD893" s="183"/>
      <c r="AE893" s="183"/>
      <c r="AF893" s="183"/>
      <c r="AG893" s="183"/>
      <c r="AH893" s="183"/>
      <c r="AI893" s="183"/>
      <c r="AJ893" s="183"/>
      <c r="AK893" s="183"/>
      <c r="AL893" s="183"/>
      <c r="AM893" s="183"/>
      <c r="AN893" s="183"/>
    </row>
    <row r="894" spans="1:40" ht="13" customHeight="1">
      <c r="A894" s="183"/>
      <c r="B894" s="183"/>
      <c r="C894" s="183"/>
      <c r="D894" s="183"/>
      <c r="E894" s="183"/>
      <c r="F894" s="183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  <c r="AA894" s="183"/>
      <c r="AB894" s="183"/>
      <c r="AC894" s="183"/>
      <c r="AD894" s="183"/>
      <c r="AE894" s="183"/>
      <c r="AF894" s="183"/>
      <c r="AG894" s="183"/>
      <c r="AH894" s="183"/>
      <c r="AI894" s="183"/>
      <c r="AJ894" s="183"/>
      <c r="AK894" s="183"/>
      <c r="AL894" s="183"/>
      <c r="AM894" s="183"/>
      <c r="AN894" s="183"/>
    </row>
    <row r="895" spans="1:40" ht="13" customHeight="1">
      <c r="A895" s="183"/>
      <c r="B895" s="183"/>
      <c r="C895" s="183"/>
      <c r="D895" s="183"/>
      <c r="E895" s="183"/>
      <c r="F895" s="183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  <c r="AA895" s="183"/>
      <c r="AB895" s="183"/>
      <c r="AC895" s="183"/>
      <c r="AD895" s="183"/>
      <c r="AE895" s="183"/>
      <c r="AF895" s="183"/>
      <c r="AG895" s="183"/>
      <c r="AH895" s="183"/>
      <c r="AI895" s="183"/>
      <c r="AJ895" s="183"/>
      <c r="AK895" s="183"/>
      <c r="AL895" s="183"/>
      <c r="AM895" s="183"/>
      <c r="AN895" s="183"/>
    </row>
    <row r="896" spans="1:40" ht="13" customHeight="1">
      <c r="A896" s="183"/>
      <c r="B896" s="183"/>
      <c r="C896" s="183"/>
      <c r="D896" s="183"/>
      <c r="E896" s="183"/>
      <c r="F896" s="183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  <c r="AA896" s="183"/>
      <c r="AB896" s="183"/>
      <c r="AC896" s="183"/>
      <c r="AD896" s="183"/>
      <c r="AE896" s="183"/>
      <c r="AF896" s="183"/>
      <c r="AG896" s="183"/>
      <c r="AH896" s="183"/>
      <c r="AI896" s="183"/>
      <c r="AJ896" s="183"/>
      <c r="AK896" s="183"/>
      <c r="AL896" s="183"/>
      <c r="AM896" s="183"/>
      <c r="AN896" s="183"/>
    </row>
    <row r="897" spans="1:40" ht="13" customHeight="1">
      <c r="A897" s="183"/>
      <c r="B897" s="183"/>
      <c r="C897" s="183"/>
      <c r="D897" s="183"/>
      <c r="E897" s="183"/>
      <c r="F897" s="183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  <c r="AA897" s="183"/>
      <c r="AB897" s="183"/>
      <c r="AC897" s="183"/>
      <c r="AD897" s="183"/>
      <c r="AE897" s="183"/>
      <c r="AF897" s="183"/>
      <c r="AG897" s="183"/>
      <c r="AH897" s="183"/>
      <c r="AI897" s="183"/>
      <c r="AJ897" s="183"/>
      <c r="AK897" s="183"/>
      <c r="AL897" s="183"/>
      <c r="AM897" s="183"/>
      <c r="AN897" s="183"/>
    </row>
    <row r="898" spans="1:40" ht="13" customHeight="1">
      <c r="A898" s="183"/>
      <c r="B898" s="183"/>
      <c r="C898" s="183"/>
      <c r="D898" s="183"/>
      <c r="E898" s="183"/>
      <c r="F898" s="183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  <c r="AA898" s="183"/>
      <c r="AB898" s="183"/>
      <c r="AC898" s="183"/>
      <c r="AD898" s="183"/>
      <c r="AE898" s="183"/>
      <c r="AF898" s="183"/>
      <c r="AG898" s="183"/>
      <c r="AH898" s="183"/>
      <c r="AI898" s="183"/>
      <c r="AJ898" s="183"/>
      <c r="AK898" s="183"/>
      <c r="AL898" s="183"/>
      <c r="AM898" s="183"/>
      <c r="AN898" s="183"/>
    </row>
    <row r="899" spans="1:40" ht="13" customHeight="1">
      <c r="A899" s="183"/>
      <c r="B899" s="183"/>
      <c r="C899" s="183"/>
      <c r="D899" s="183"/>
      <c r="E899" s="183"/>
      <c r="F899" s="183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  <c r="AA899" s="183"/>
      <c r="AB899" s="183"/>
      <c r="AC899" s="183"/>
      <c r="AD899" s="183"/>
      <c r="AE899" s="183"/>
      <c r="AF899" s="183"/>
      <c r="AG899" s="183"/>
      <c r="AH899" s="183"/>
      <c r="AI899" s="183"/>
      <c r="AJ899" s="183"/>
      <c r="AK899" s="183"/>
      <c r="AL899" s="183"/>
      <c r="AM899" s="183"/>
      <c r="AN899" s="183"/>
    </row>
    <row r="900" spans="1:40" ht="13" customHeight="1">
      <c r="A900" s="183"/>
      <c r="B900" s="183"/>
      <c r="C900" s="183"/>
      <c r="D900" s="183"/>
      <c r="E900" s="183"/>
      <c r="F900" s="183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  <c r="AA900" s="183"/>
      <c r="AB900" s="183"/>
      <c r="AC900" s="183"/>
      <c r="AD900" s="183"/>
      <c r="AE900" s="183"/>
      <c r="AF900" s="183"/>
      <c r="AG900" s="183"/>
      <c r="AH900" s="183"/>
      <c r="AI900" s="183"/>
      <c r="AJ900" s="183"/>
      <c r="AK900" s="183"/>
      <c r="AL900" s="183"/>
      <c r="AM900" s="183"/>
      <c r="AN900" s="183"/>
    </row>
    <row r="901" spans="1:40" ht="13" customHeight="1">
      <c r="A901" s="183"/>
      <c r="B901" s="183"/>
      <c r="C901" s="183"/>
      <c r="D901" s="183"/>
      <c r="E901" s="183"/>
      <c r="F901" s="183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  <c r="AA901" s="183"/>
      <c r="AB901" s="183"/>
      <c r="AC901" s="183"/>
      <c r="AD901" s="183"/>
      <c r="AE901" s="183"/>
      <c r="AF901" s="183"/>
      <c r="AG901" s="183"/>
      <c r="AH901" s="183"/>
      <c r="AI901" s="183"/>
      <c r="AJ901" s="183"/>
      <c r="AK901" s="183"/>
      <c r="AL901" s="183"/>
      <c r="AM901" s="183"/>
      <c r="AN901" s="183"/>
    </row>
    <row r="902" spans="1:40" ht="13" customHeight="1">
      <c r="A902" s="183"/>
      <c r="B902" s="183"/>
      <c r="C902" s="183"/>
      <c r="D902" s="183"/>
      <c r="E902" s="183"/>
      <c r="F902" s="183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  <c r="AA902" s="183"/>
      <c r="AB902" s="183"/>
      <c r="AC902" s="183"/>
      <c r="AD902" s="183"/>
      <c r="AE902" s="183"/>
      <c r="AF902" s="183"/>
      <c r="AG902" s="183"/>
      <c r="AH902" s="183"/>
      <c r="AI902" s="183"/>
      <c r="AJ902" s="183"/>
      <c r="AK902" s="183"/>
      <c r="AL902" s="183"/>
      <c r="AM902" s="183"/>
      <c r="AN902" s="183"/>
    </row>
    <row r="903" spans="1:40" ht="13" customHeight="1">
      <c r="A903" s="183"/>
      <c r="B903" s="183"/>
      <c r="C903" s="183"/>
      <c r="D903" s="183"/>
      <c r="E903" s="183"/>
      <c r="F903" s="183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  <c r="AA903" s="183"/>
      <c r="AB903" s="183"/>
      <c r="AC903" s="183"/>
      <c r="AD903" s="183"/>
      <c r="AE903" s="183"/>
      <c r="AF903" s="183"/>
      <c r="AG903" s="183"/>
      <c r="AH903" s="183"/>
      <c r="AI903" s="183"/>
      <c r="AJ903" s="183"/>
      <c r="AK903" s="183"/>
      <c r="AL903" s="183"/>
      <c r="AM903" s="183"/>
      <c r="AN903" s="183"/>
    </row>
    <row r="904" spans="1:40" ht="13" customHeight="1">
      <c r="A904" s="183"/>
      <c r="B904" s="183"/>
      <c r="C904" s="183"/>
      <c r="D904" s="183"/>
      <c r="E904" s="183"/>
      <c r="F904" s="183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  <c r="AA904" s="183"/>
      <c r="AB904" s="183"/>
      <c r="AC904" s="183"/>
      <c r="AD904" s="183"/>
      <c r="AE904" s="183"/>
      <c r="AF904" s="183"/>
      <c r="AG904" s="183"/>
      <c r="AH904" s="183"/>
      <c r="AI904" s="183"/>
      <c r="AJ904" s="183"/>
      <c r="AK904" s="183"/>
      <c r="AL904" s="183"/>
      <c r="AM904" s="183"/>
      <c r="AN904" s="183"/>
    </row>
    <row r="905" spans="1:40" ht="13" customHeight="1">
      <c r="A905" s="183"/>
      <c r="B905" s="183"/>
      <c r="C905" s="183"/>
      <c r="D905" s="183"/>
      <c r="E905" s="183"/>
      <c r="F905" s="183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  <c r="AA905" s="183"/>
      <c r="AB905" s="183"/>
      <c r="AC905" s="183"/>
      <c r="AD905" s="183"/>
      <c r="AE905" s="183"/>
      <c r="AF905" s="183"/>
      <c r="AG905" s="183"/>
      <c r="AH905" s="183"/>
      <c r="AI905" s="183"/>
      <c r="AJ905" s="183"/>
      <c r="AK905" s="183"/>
      <c r="AL905" s="183"/>
      <c r="AM905" s="183"/>
      <c r="AN905" s="183"/>
    </row>
    <row r="906" spans="1:40" ht="13" customHeight="1">
      <c r="A906" s="183"/>
      <c r="B906" s="183"/>
      <c r="C906" s="183"/>
      <c r="D906" s="183"/>
      <c r="E906" s="183"/>
      <c r="F906" s="183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  <c r="AA906" s="183"/>
      <c r="AB906" s="183"/>
      <c r="AC906" s="183"/>
      <c r="AD906" s="183"/>
      <c r="AE906" s="183"/>
      <c r="AF906" s="183"/>
      <c r="AG906" s="183"/>
      <c r="AH906" s="183"/>
      <c r="AI906" s="183"/>
      <c r="AJ906" s="183"/>
      <c r="AK906" s="183"/>
      <c r="AL906" s="183"/>
      <c r="AM906" s="183"/>
      <c r="AN906" s="183"/>
    </row>
    <row r="907" spans="1:40" ht="13" customHeight="1">
      <c r="A907" s="183"/>
      <c r="B907" s="183"/>
      <c r="C907" s="183"/>
      <c r="D907" s="183"/>
      <c r="E907" s="183"/>
      <c r="F907" s="183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  <c r="AA907" s="183"/>
      <c r="AB907" s="183"/>
      <c r="AC907" s="183"/>
      <c r="AD907" s="183"/>
      <c r="AE907" s="183"/>
      <c r="AF907" s="183"/>
      <c r="AG907" s="183"/>
      <c r="AH907" s="183"/>
      <c r="AI907" s="183"/>
      <c r="AJ907" s="183"/>
      <c r="AK907" s="183"/>
      <c r="AL907" s="183"/>
      <c r="AM907" s="183"/>
      <c r="AN907" s="183"/>
    </row>
    <row r="908" spans="1:40" ht="13" customHeight="1">
      <c r="A908" s="183"/>
      <c r="B908" s="183"/>
      <c r="C908" s="183"/>
      <c r="D908" s="183"/>
      <c r="E908" s="183"/>
      <c r="F908" s="183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  <c r="AA908" s="183"/>
      <c r="AB908" s="183"/>
      <c r="AC908" s="183"/>
      <c r="AD908" s="183"/>
      <c r="AE908" s="183"/>
      <c r="AF908" s="183"/>
      <c r="AG908" s="183"/>
      <c r="AH908" s="183"/>
      <c r="AI908" s="183"/>
      <c r="AJ908" s="183"/>
      <c r="AK908" s="183"/>
      <c r="AL908" s="183"/>
      <c r="AM908" s="183"/>
      <c r="AN908" s="183"/>
    </row>
    <row r="909" spans="1:40" ht="13" customHeight="1">
      <c r="A909" s="183"/>
      <c r="B909" s="183"/>
      <c r="C909" s="183"/>
      <c r="D909" s="183"/>
      <c r="E909" s="183"/>
      <c r="F909" s="183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  <c r="AA909" s="183"/>
      <c r="AB909" s="183"/>
      <c r="AC909" s="183"/>
      <c r="AD909" s="183"/>
      <c r="AE909" s="183"/>
      <c r="AF909" s="183"/>
      <c r="AG909" s="183"/>
      <c r="AH909" s="183"/>
      <c r="AI909" s="183"/>
      <c r="AJ909" s="183"/>
      <c r="AK909" s="183"/>
      <c r="AL909" s="183"/>
      <c r="AM909" s="183"/>
      <c r="AN909" s="183"/>
    </row>
    <row r="910" spans="1:40" ht="13" customHeight="1">
      <c r="A910" s="183"/>
      <c r="B910" s="183"/>
      <c r="C910" s="183"/>
      <c r="D910" s="183"/>
      <c r="E910" s="183"/>
      <c r="F910" s="183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  <c r="AA910" s="183"/>
      <c r="AB910" s="183"/>
      <c r="AC910" s="183"/>
      <c r="AD910" s="183"/>
      <c r="AE910" s="183"/>
      <c r="AF910" s="183"/>
      <c r="AG910" s="183"/>
      <c r="AH910" s="183"/>
      <c r="AI910" s="183"/>
      <c r="AJ910" s="183"/>
      <c r="AK910" s="183"/>
      <c r="AL910" s="183"/>
      <c r="AM910" s="183"/>
      <c r="AN910" s="183"/>
    </row>
    <row r="911" spans="1:40" ht="13" customHeight="1">
      <c r="A911" s="183"/>
      <c r="B911" s="183"/>
      <c r="C911" s="183"/>
      <c r="D911" s="183"/>
      <c r="E911" s="183"/>
      <c r="F911" s="183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  <c r="AA911" s="183"/>
      <c r="AB911" s="183"/>
      <c r="AC911" s="183"/>
      <c r="AD911" s="183"/>
      <c r="AE911" s="183"/>
      <c r="AF911" s="183"/>
      <c r="AG911" s="183"/>
      <c r="AH911" s="183"/>
      <c r="AI911" s="183"/>
      <c r="AJ911" s="183"/>
      <c r="AK911" s="183"/>
      <c r="AL911" s="183"/>
      <c r="AM911" s="183"/>
      <c r="AN911" s="183"/>
    </row>
    <row r="912" spans="1:40" ht="13" customHeight="1">
      <c r="A912" s="183"/>
      <c r="B912" s="183"/>
      <c r="C912" s="183"/>
      <c r="D912" s="183"/>
      <c r="E912" s="183"/>
      <c r="F912" s="183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  <c r="AA912" s="183"/>
      <c r="AB912" s="183"/>
      <c r="AC912" s="183"/>
      <c r="AD912" s="183"/>
      <c r="AE912" s="183"/>
      <c r="AF912" s="183"/>
      <c r="AG912" s="183"/>
      <c r="AH912" s="183"/>
      <c r="AI912" s="183"/>
      <c r="AJ912" s="183"/>
      <c r="AK912" s="183"/>
      <c r="AL912" s="183"/>
      <c r="AM912" s="183"/>
      <c r="AN912" s="183"/>
    </row>
    <row r="913" spans="1:40" ht="13" customHeight="1">
      <c r="A913" s="183"/>
      <c r="B913" s="183"/>
      <c r="C913" s="183"/>
      <c r="D913" s="183"/>
      <c r="E913" s="183"/>
      <c r="F913" s="183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  <c r="AA913" s="183"/>
      <c r="AB913" s="183"/>
      <c r="AC913" s="183"/>
      <c r="AD913" s="183"/>
      <c r="AE913" s="183"/>
      <c r="AF913" s="183"/>
      <c r="AG913" s="183"/>
      <c r="AH913" s="183"/>
      <c r="AI913" s="183"/>
      <c r="AJ913" s="183"/>
      <c r="AK913" s="183"/>
      <c r="AL913" s="183"/>
      <c r="AM913" s="183"/>
      <c r="AN913" s="183"/>
    </row>
    <row r="914" spans="1:40" ht="13" customHeight="1">
      <c r="A914" s="183"/>
      <c r="B914" s="183"/>
      <c r="C914" s="183"/>
      <c r="D914" s="183"/>
      <c r="E914" s="183"/>
      <c r="F914" s="183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  <c r="AA914" s="183"/>
      <c r="AB914" s="183"/>
      <c r="AC914" s="183"/>
      <c r="AD914" s="183"/>
      <c r="AE914" s="183"/>
      <c r="AF914" s="183"/>
      <c r="AG914" s="183"/>
      <c r="AH914" s="183"/>
      <c r="AI914" s="183"/>
      <c r="AJ914" s="183"/>
      <c r="AK914" s="183"/>
      <c r="AL914" s="183"/>
      <c r="AM914" s="183"/>
      <c r="AN914" s="183"/>
    </row>
    <row r="915" spans="1:40" ht="13" customHeight="1">
      <c r="A915" s="183"/>
      <c r="B915" s="183"/>
      <c r="C915" s="183"/>
      <c r="D915" s="183"/>
      <c r="E915" s="183"/>
      <c r="F915" s="183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  <c r="AA915" s="183"/>
      <c r="AB915" s="183"/>
      <c r="AC915" s="183"/>
      <c r="AD915" s="183"/>
      <c r="AE915" s="183"/>
      <c r="AF915" s="183"/>
      <c r="AG915" s="183"/>
      <c r="AH915" s="183"/>
      <c r="AI915" s="183"/>
      <c r="AJ915" s="183"/>
      <c r="AK915" s="183"/>
      <c r="AL915" s="183"/>
      <c r="AM915" s="183"/>
      <c r="AN915" s="183"/>
    </row>
    <row r="916" spans="1:40" ht="13" customHeight="1">
      <c r="A916" s="183"/>
      <c r="B916" s="183"/>
      <c r="C916" s="183"/>
      <c r="D916" s="183"/>
      <c r="E916" s="183"/>
      <c r="F916" s="183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  <c r="AA916" s="183"/>
      <c r="AB916" s="183"/>
      <c r="AC916" s="183"/>
      <c r="AD916" s="183"/>
      <c r="AE916" s="183"/>
      <c r="AF916" s="183"/>
      <c r="AG916" s="183"/>
      <c r="AH916" s="183"/>
      <c r="AI916" s="183"/>
      <c r="AJ916" s="183"/>
      <c r="AK916" s="183"/>
      <c r="AL916" s="183"/>
      <c r="AM916" s="183"/>
      <c r="AN916" s="183"/>
    </row>
    <row r="917" spans="1:40" ht="13" customHeight="1">
      <c r="A917" s="183"/>
      <c r="B917" s="183"/>
      <c r="C917" s="183"/>
      <c r="D917" s="183"/>
      <c r="E917" s="183"/>
      <c r="F917" s="183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  <c r="AA917" s="183"/>
      <c r="AB917" s="183"/>
      <c r="AC917" s="183"/>
      <c r="AD917" s="183"/>
      <c r="AE917" s="183"/>
      <c r="AF917" s="183"/>
      <c r="AG917" s="183"/>
      <c r="AH917" s="183"/>
      <c r="AI917" s="183"/>
      <c r="AJ917" s="183"/>
      <c r="AK917" s="183"/>
      <c r="AL917" s="183"/>
      <c r="AM917" s="183"/>
      <c r="AN917" s="183"/>
    </row>
    <row r="918" spans="1:40" ht="13" customHeight="1">
      <c r="A918" s="183"/>
      <c r="B918" s="183"/>
      <c r="C918" s="183"/>
      <c r="D918" s="183"/>
      <c r="E918" s="183"/>
      <c r="F918" s="183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  <c r="AA918" s="183"/>
      <c r="AB918" s="183"/>
      <c r="AC918" s="183"/>
      <c r="AD918" s="183"/>
      <c r="AE918" s="183"/>
      <c r="AF918" s="183"/>
      <c r="AG918" s="183"/>
      <c r="AH918" s="183"/>
      <c r="AI918" s="183"/>
      <c r="AJ918" s="183"/>
      <c r="AK918" s="183"/>
      <c r="AL918" s="183"/>
      <c r="AM918" s="183"/>
      <c r="AN918" s="183"/>
    </row>
    <row r="919" spans="1:40" ht="13" customHeight="1">
      <c r="A919" s="183"/>
      <c r="B919" s="183"/>
      <c r="C919" s="183"/>
      <c r="D919" s="183"/>
      <c r="E919" s="183"/>
      <c r="F919" s="183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  <c r="AA919" s="183"/>
      <c r="AB919" s="183"/>
      <c r="AC919" s="183"/>
      <c r="AD919" s="183"/>
      <c r="AE919" s="183"/>
      <c r="AF919" s="183"/>
      <c r="AG919" s="183"/>
      <c r="AH919" s="183"/>
      <c r="AI919" s="183"/>
      <c r="AJ919" s="183"/>
      <c r="AK919" s="183"/>
      <c r="AL919" s="183"/>
      <c r="AM919" s="183"/>
      <c r="AN919" s="183"/>
    </row>
    <row r="920" spans="1:40" ht="13" customHeight="1">
      <c r="A920" s="183"/>
      <c r="B920" s="183"/>
      <c r="C920" s="183"/>
      <c r="D920" s="183"/>
      <c r="E920" s="183"/>
      <c r="F920" s="183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  <c r="AA920" s="183"/>
      <c r="AB920" s="183"/>
      <c r="AC920" s="183"/>
      <c r="AD920" s="183"/>
      <c r="AE920" s="183"/>
      <c r="AF920" s="183"/>
      <c r="AG920" s="183"/>
      <c r="AH920" s="183"/>
      <c r="AI920" s="183"/>
      <c r="AJ920" s="183"/>
      <c r="AK920" s="183"/>
      <c r="AL920" s="183"/>
      <c r="AM920" s="183"/>
      <c r="AN920" s="183"/>
    </row>
    <row r="921" spans="1:40" ht="13" customHeight="1">
      <c r="A921" s="183"/>
      <c r="B921" s="183"/>
      <c r="C921" s="183"/>
      <c r="D921" s="183"/>
      <c r="E921" s="183"/>
      <c r="F921" s="183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  <c r="AA921" s="183"/>
      <c r="AB921" s="183"/>
      <c r="AC921" s="183"/>
      <c r="AD921" s="183"/>
      <c r="AE921" s="183"/>
      <c r="AF921" s="183"/>
      <c r="AG921" s="183"/>
      <c r="AH921" s="183"/>
      <c r="AI921" s="183"/>
      <c r="AJ921" s="183"/>
      <c r="AK921" s="183"/>
      <c r="AL921" s="183"/>
      <c r="AM921" s="183"/>
      <c r="AN921" s="183"/>
    </row>
    <row r="922" spans="1:40" ht="13" customHeight="1">
      <c r="A922" s="183"/>
      <c r="B922" s="183"/>
      <c r="C922" s="183"/>
      <c r="D922" s="183"/>
      <c r="E922" s="183"/>
      <c r="F922" s="183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  <c r="AA922" s="183"/>
      <c r="AB922" s="183"/>
      <c r="AC922" s="183"/>
      <c r="AD922" s="183"/>
      <c r="AE922" s="183"/>
      <c r="AF922" s="183"/>
      <c r="AG922" s="183"/>
      <c r="AH922" s="183"/>
      <c r="AI922" s="183"/>
      <c r="AJ922" s="183"/>
      <c r="AK922" s="183"/>
      <c r="AL922" s="183"/>
      <c r="AM922" s="183"/>
      <c r="AN922" s="183"/>
    </row>
    <row r="923" spans="1:40" ht="13" customHeight="1">
      <c r="A923" s="183"/>
      <c r="B923" s="183"/>
      <c r="C923" s="183"/>
      <c r="D923" s="183"/>
      <c r="E923" s="183"/>
      <c r="F923" s="183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  <c r="AA923" s="183"/>
      <c r="AB923" s="183"/>
      <c r="AC923" s="183"/>
      <c r="AD923" s="183"/>
      <c r="AE923" s="183"/>
      <c r="AF923" s="183"/>
      <c r="AG923" s="183"/>
      <c r="AH923" s="183"/>
      <c r="AI923" s="183"/>
      <c r="AJ923" s="183"/>
      <c r="AK923" s="183"/>
      <c r="AL923" s="183"/>
      <c r="AM923" s="183"/>
      <c r="AN923" s="183"/>
    </row>
    <row r="924" spans="1:40" ht="13" customHeight="1">
      <c r="A924" s="183"/>
      <c r="B924" s="183"/>
      <c r="C924" s="183"/>
      <c r="D924" s="183"/>
      <c r="E924" s="183"/>
      <c r="F924" s="183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  <c r="AA924" s="183"/>
      <c r="AB924" s="183"/>
      <c r="AC924" s="183"/>
      <c r="AD924" s="183"/>
      <c r="AE924" s="183"/>
      <c r="AF924" s="183"/>
      <c r="AG924" s="183"/>
      <c r="AH924" s="183"/>
      <c r="AI924" s="183"/>
      <c r="AJ924" s="183"/>
      <c r="AK924" s="183"/>
      <c r="AL924" s="183"/>
      <c r="AM924" s="183"/>
      <c r="AN924" s="183"/>
    </row>
    <row r="925" spans="1:40" ht="13" customHeight="1">
      <c r="A925" s="183"/>
      <c r="B925" s="183"/>
      <c r="C925" s="183"/>
      <c r="D925" s="183"/>
      <c r="E925" s="183"/>
      <c r="F925" s="183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  <c r="AA925" s="183"/>
      <c r="AB925" s="183"/>
      <c r="AC925" s="183"/>
      <c r="AD925" s="183"/>
      <c r="AE925" s="183"/>
      <c r="AF925" s="183"/>
      <c r="AG925" s="183"/>
      <c r="AH925" s="183"/>
      <c r="AI925" s="183"/>
      <c r="AJ925" s="183"/>
      <c r="AK925" s="183"/>
      <c r="AL925" s="183"/>
      <c r="AM925" s="183"/>
      <c r="AN925" s="183"/>
    </row>
    <row r="926" spans="1:40" ht="13" customHeight="1">
      <c r="A926" s="183"/>
      <c r="B926" s="183"/>
      <c r="C926" s="183"/>
      <c r="D926" s="183"/>
      <c r="E926" s="183"/>
      <c r="F926" s="183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  <c r="AA926" s="183"/>
      <c r="AB926" s="183"/>
      <c r="AC926" s="183"/>
      <c r="AD926" s="183"/>
      <c r="AE926" s="183"/>
      <c r="AF926" s="183"/>
      <c r="AG926" s="183"/>
      <c r="AH926" s="183"/>
      <c r="AI926" s="183"/>
      <c r="AJ926" s="183"/>
      <c r="AK926" s="183"/>
      <c r="AL926" s="183"/>
      <c r="AM926" s="183"/>
      <c r="AN926" s="183"/>
    </row>
    <row r="927" spans="1:40" ht="13" customHeight="1">
      <c r="A927" s="183"/>
      <c r="B927" s="183"/>
      <c r="C927" s="183"/>
      <c r="D927" s="183"/>
      <c r="E927" s="183"/>
      <c r="F927" s="183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  <c r="AA927" s="183"/>
      <c r="AB927" s="183"/>
      <c r="AC927" s="183"/>
      <c r="AD927" s="183"/>
      <c r="AE927" s="183"/>
      <c r="AF927" s="183"/>
      <c r="AG927" s="183"/>
      <c r="AH927" s="183"/>
      <c r="AI927" s="183"/>
      <c r="AJ927" s="183"/>
      <c r="AK927" s="183"/>
      <c r="AL927" s="183"/>
      <c r="AM927" s="183"/>
      <c r="AN927" s="183"/>
    </row>
    <row r="928" spans="1:40" ht="13" customHeight="1">
      <c r="A928" s="183"/>
      <c r="B928" s="183"/>
      <c r="C928" s="183"/>
      <c r="D928" s="183"/>
      <c r="E928" s="183"/>
      <c r="F928" s="183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  <c r="AA928" s="183"/>
      <c r="AB928" s="183"/>
      <c r="AC928" s="183"/>
      <c r="AD928" s="183"/>
      <c r="AE928" s="183"/>
      <c r="AF928" s="183"/>
      <c r="AG928" s="183"/>
      <c r="AH928" s="183"/>
      <c r="AI928" s="183"/>
      <c r="AJ928" s="183"/>
      <c r="AK928" s="183"/>
      <c r="AL928" s="183"/>
      <c r="AM928" s="183"/>
      <c r="AN928" s="183"/>
    </row>
    <row r="929" spans="1:40" ht="13" customHeight="1">
      <c r="A929" s="183"/>
      <c r="B929" s="183"/>
      <c r="C929" s="183"/>
      <c r="D929" s="183"/>
      <c r="E929" s="183"/>
      <c r="F929" s="183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  <c r="AA929" s="183"/>
      <c r="AB929" s="183"/>
      <c r="AC929" s="183"/>
      <c r="AD929" s="183"/>
      <c r="AE929" s="183"/>
      <c r="AF929" s="183"/>
      <c r="AG929" s="183"/>
      <c r="AH929" s="183"/>
      <c r="AI929" s="183"/>
      <c r="AJ929" s="183"/>
      <c r="AK929" s="183"/>
      <c r="AL929" s="183"/>
      <c r="AM929" s="183"/>
      <c r="AN929" s="183"/>
    </row>
    <row r="930" spans="1:40" ht="13" customHeight="1">
      <c r="A930" s="183"/>
      <c r="B930" s="183"/>
      <c r="C930" s="183"/>
      <c r="D930" s="183"/>
      <c r="E930" s="183"/>
      <c r="F930" s="183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  <c r="AA930" s="183"/>
      <c r="AB930" s="183"/>
      <c r="AC930" s="183"/>
      <c r="AD930" s="183"/>
      <c r="AE930" s="183"/>
      <c r="AF930" s="183"/>
      <c r="AG930" s="183"/>
      <c r="AH930" s="183"/>
      <c r="AI930" s="183"/>
      <c r="AJ930" s="183"/>
      <c r="AK930" s="183"/>
      <c r="AL930" s="183"/>
      <c r="AM930" s="183"/>
      <c r="AN930" s="183"/>
    </row>
    <row r="931" spans="1:40" ht="13" customHeight="1">
      <c r="A931" s="183"/>
      <c r="B931" s="183"/>
      <c r="C931" s="183"/>
      <c r="D931" s="183"/>
      <c r="E931" s="183"/>
      <c r="F931" s="183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  <c r="AA931" s="183"/>
      <c r="AB931" s="183"/>
      <c r="AC931" s="183"/>
      <c r="AD931" s="183"/>
      <c r="AE931" s="183"/>
      <c r="AF931" s="183"/>
      <c r="AG931" s="183"/>
      <c r="AH931" s="183"/>
      <c r="AI931" s="183"/>
      <c r="AJ931" s="183"/>
      <c r="AK931" s="183"/>
      <c r="AL931" s="183"/>
      <c r="AM931" s="183"/>
      <c r="AN931" s="183"/>
    </row>
    <row r="932" spans="1:40" ht="13" customHeight="1">
      <c r="A932" s="183"/>
      <c r="B932" s="183"/>
      <c r="C932" s="183"/>
      <c r="D932" s="183"/>
      <c r="E932" s="183"/>
      <c r="F932" s="183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  <c r="AA932" s="183"/>
      <c r="AB932" s="183"/>
      <c r="AC932" s="183"/>
      <c r="AD932" s="183"/>
      <c r="AE932" s="183"/>
      <c r="AF932" s="183"/>
      <c r="AG932" s="183"/>
      <c r="AH932" s="183"/>
      <c r="AI932" s="183"/>
      <c r="AJ932" s="183"/>
      <c r="AK932" s="183"/>
      <c r="AL932" s="183"/>
      <c r="AM932" s="183"/>
      <c r="AN932" s="183"/>
    </row>
    <row r="933" spans="1:40" ht="13" customHeight="1">
      <c r="A933" s="183"/>
      <c r="B933" s="183"/>
      <c r="C933" s="183"/>
      <c r="D933" s="183"/>
      <c r="E933" s="183"/>
      <c r="F933" s="183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  <c r="AA933" s="183"/>
      <c r="AB933" s="183"/>
      <c r="AC933" s="183"/>
      <c r="AD933" s="183"/>
      <c r="AE933" s="183"/>
      <c r="AF933" s="183"/>
      <c r="AG933" s="183"/>
      <c r="AH933" s="183"/>
      <c r="AI933" s="183"/>
      <c r="AJ933" s="183"/>
      <c r="AK933" s="183"/>
      <c r="AL933" s="183"/>
      <c r="AM933" s="183"/>
      <c r="AN933" s="183"/>
    </row>
    <row r="934" spans="1:40" ht="13" customHeight="1">
      <c r="A934" s="183"/>
      <c r="B934" s="183"/>
      <c r="C934" s="183"/>
      <c r="D934" s="183"/>
      <c r="E934" s="183"/>
      <c r="F934" s="183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  <c r="AA934" s="183"/>
      <c r="AB934" s="183"/>
      <c r="AC934" s="183"/>
      <c r="AD934" s="183"/>
      <c r="AE934" s="183"/>
      <c r="AF934" s="183"/>
      <c r="AG934" s="183"/>
      <c r="AH934" s="183"/>
      <c r="AI934" s="183"/>
      <c r="AJ934" s="183"/>
      <c r="AK934" s="183"/>
      <c r="AL934" s="183"/>
      <c r="AM934" s="183"/>
      <c r="AN934" s="183"/>
    </row>
    <row r="935" spans="1:40" ht="13" customHeight="1">
      <c r="A935" s="183"/>
      <c r="B935" s="183"/>
      <c r="C935" s="183"/>
      <c r="D935" s="183"/>
      <c r="E935" s="183"/>
      <c r="F935" s="183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  <c r="AA935" s="183"/>
      <c r="AB935" s="183"/>
      <c r="AC935" s="183"/>
      <c r="AD935" s="183"/>
      <c r="AE935" s="183"/>
      <c r="AF935" s="183"/>
      <c r="AG935" s="183"/>
      <c r="AH935" s="183"/>
      <c r="AI935" s="183"/>
      <c r="AJ935" s="183"/>
      <c r="AK935" s="183"/>
      <c r="AL935" s="183"/>
      <c r="AM935" s="183"/>
      <c r="AN935" s="183"/>
    </row>
    <row r="936" spans="1:40" ht="13" customHeight="1">
      <c r="A936" s="183"/>
      <c r="B936" s="183"/>
      <c r="C936" s="183"/>
      <c r="D936" s="183"/>
      <c r="E936" s="183"/>
      <c r="F936" s="183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  <c r="AA936" s="183"/>
      <c r="AB936" s="183"/>
      <c r="AC936" s="183"/>
      <c r="AD936" s="183"/>
      <c r="AE936" s="183"/>
      <c r="AF936" s="183"/>
      <c r="AG936" s="183"/>
      <c r="AH936" s="183"/>
      <c r="AI936" s="183"/>
      <c r="AJ936" s="183"/>
      <c r="AK936" s="183"/>
      <c r="AL936" s="183"/>
      <c r="AM936" s="183"/>
      <c r="AN936" s="183"/>
    </row>
    <row r="937" spans="1:40" ht="13" customHeight="1">
      <c r="A937" s="183"/>
      <c r="B937" s="183"/>
      <c r="C937" s="183"/>
      <c r="D937" s="183"/>
      <c r="E937" s="183"/>
      <c r="F937" s="183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  <c r="AA937" s="183"/>
      <c r="AB937" s="183"/>
      <c r="AC937" s="183"/>
      <c r="AD937" s="183"/>
      <c r="AE937" s="183"/>
      <c r="AF937" s="183"/>
      <c r="AG937" s="183"/>
      <c r="AH937" s="183"/>
      <c r="AI937" s="183"/>
      <c r="AJ937" s="183"/>
      <c r="AK937" s="183"/>
      <c r="AL937" s="183"/>
      <c r="AM937" s="183"/>
      <c r="AN937" s="183"/>
    </row>
    <row r="938" spans="1:40" ht="13" customHeight="1">
      <c r="A938" s="183"/>
      <c r="B938" s="183"/>
      <c r="C938" s="183"/>
      <c r="D938" s="183"/>
      <c r="E938" s="183"/>
      <c r="F938" s="183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  <c r="AA938" s="183"/>
      <c r="AB938" s="183"/>
      <c r="AC938" s="183"/>
      <c r="AD938" s="183"/>
      <c r="AE938" s="183"/>
      <c r="AF938" s="183"/>
      <c r="AG938" s="183"/>
      <c r="AH938" s="183"/>
      <c r="AI938" s="183"/>
      <c r="AJ938" s="183"/>
      <c r="AK938" s="183"/>
      <c r="AL938" s="183"/>
      <c r="AM938" s="183"/>
      <c r="AN938" s="183"/>
    </row>
    <row r="939" spans="1:40" ht="13" customHeight="1">
      <c r="A939" s="183"/>
      <c r="B939" s="183"/>
      <c r="C939" s="183"/>
      <c r="D939" s="183"/>
      <c r="E939" s="183"/>
      <c r="F939" s="183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  <c r="AA939" s="183"/>
      <c r="AB939" s="183"/>
      <c r="AC939" s="183"/>
      <c r="AD939" s="183"/>
      <c r="AE939" s="183"/>
      <c r="AF939" s="183"/>
      <c r="AG939" s="183"/>
      <c r="AH939" s="183"/>
      <c r="AI939" s="183"/>
      <c r="AJ939" s="183"/>
      <c r="AK939" s="183"/>
      <c r="AL939" s="183"/>
      <c r="AM939" s="183"/>
      <c r="AN939" s="183"/>
    </row>
    <row r="940" spans="1:40" ht="13" customHeight="1">
      <c r="A940" s="183"/>
      <c r="B940" s="183"/>
      <c r="C940" s="183"/>
      <c r="D940" s="183"/>
      <c r="E940" s="183"/>
      <c r="F940" s="183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  <c r="AA940" s="183"/>
      <c r="AB940" s="183"/>
      <c r="AC940" s="183"/>
      <c r="AD940" s="183"/>
      <c r="AE940" s="183"/>
      <c r="AF940" s="183"/>
      <c r="AG940" s="183"/>
      <c r="AH940" s="183"/>
      <c r="AI940" s="183"/>
      <c r="AJ940" s="183"/>
      <c r="AK940" s="183"/>
      <c r="AL940" s="183"/>
      <c r="AM940" s="183"/>
      <c r="AN940" s="183"/>
    </row>
    <row r="941" spans="1:40" ht="13" customHeight="1">
      <c r="A941" s="183"/>
      <c r="B941" s="183"/>
      <c r="C941" s="183"/>
      <c r="D941" s="183"/>
      <c r="E941" s="183"/>
      <c r="F941" s="183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  <c r="AA941" s="183"/>
      <c r="AB941" s="183"/>
      <c r="AC941" s="183"/>
      <c r="AD941" s="183"/>
      <c r="AE941" s="183"/>
      <c r="AF941" s="183"/>
      <c r="AG941" s="183"/>
      <c r="AH941" s="183"/>
      <c r="AI941" s="183"/>
      <c r="AJ941" s="183"/>
      <c r="AK941" s="183"/>
      <c r="AL941" s="183"/>
      <c r="AM941" s="183"/>
      <c r="AN941" s="183"/>
    </row>
    <row r="942" spans="1:40" ht="13" customHeight="1">
      <c r="A942" s="183"/>
      <c r="B942" s="183"/>
      <c r="C942" s="183"/>
      <c r="D942" s="183"/>
      <c r="E942" s="183"/>
      <c r="F942" s="183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  <c r="AA942" s="183"/>
      <c r="AB942" s="183"/>
      <c r="AC942" s="183"/>
      <c r="AD942" s="183"/>
      <c r="AE942" s="183"/>
      <c r="AF942" s="183"/>
      <c r="AG942" s="183"/>
      <c r="AH942" s="183"/>
      <c r="AI942" s="183"/>
      <c r="AJ942" s="183"/>
      <c r="AK942" s="183"/>
      <c r="AL942" s="183"/>
      <c r="AM942" s="183"/>
      <c r="AN942" s="183"/>
    </row>
    <row r="943" spans="1:40" ht="13" customHeight="1">
      <c r="A943" s="183"/>
      <c r="B943" s="183"/>
      <c r="C943" s="183"/>
      <c r="D943" s="183"/>
      <c r="E943" s="183"/>
      <c r="F943" s="183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  <c r="AA943" s="183"/>
      <c r="AB943" s="183"/>
      <c r="AC943" s="183"/>
      <c r="AD943" s="183"/>
      <c r="AE943" s="183"/>
      <c r="AF943" s="183"/>
      <c r="AG943" s="183"/>
      <c r="AH943" s="183"/>
      <c r="AI943" s="183"/>
      <c r="AJ943" s="183"/>
      <c r="AK943" s="183"/>
      <c r="AL943" s="183"/>
      <c r="AM943" s="183"/>
      <c r="AN943" s="183"/>
    </row>
    <row r="944" spans="1:40" ht="13" customHeight="1">
      <c r="A944" s="183"/>
      <c r="B944" s="183"/>
      <c r="C944" s="183"/>
      <c r="D944" s="183"/>
      <c r="E944" s="183"/>
      <c r="F944" s="183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  <c r="AA944" s="183"/>
      <c r="AB944" s="183"/>
      <c r="AC944" s="183"/>
      <c r="AD944" s="183"/>
      <c r="AE944" s="183"/>
      <c r="AF944" s="183"/>
      <c r="AG944" s="183"/>
      <c r="AH944" s="183"/>
      <c r="AI944" s="183"/>
      <c r="AJ944" s="183"/>
      <c r="AK944" s="183"/>
      <c r="AL944" s="183"/>
      <c r="AM944" s="183"/>
      <c r="AN944" s="183"/>
    </row>
    <row r="945" spans="1:40" ht="13" customHeight="1">
      <c r="A945" s="183"/>
      <c r="B945" s="183"/>
      <c r="C945" s="183"/>
      <c r="D945" s="183"/>
      <c r="E945" s="183"/>
      <c r="F945" s="183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  <c r="AA945" s="183"/>
      <c r="AB945" s="183"/>
      <c r="AC945" s="183"/>
      <c r="AD945" s="183"/>
      <c r="AE945" s="183"/>
      <c r="AF945" s="183"/>
      <c r="AG945" s="183"/>
      <c r="AH945" s="183"/>
      <c r="AI945" s="183"/>
      <c r="AJ945" s="183"/>
      <c r="AK945" s="183"/>
      <c r="AL945" s="183"/>
      <c r="AM945" s="183"/>
      <c r="AN945" s="183"/>
    </row>
    <row r="946" spans="1:40" ht="13" customHeight="1">
      <c r="A946" s="183"/>
      <c r="B946" s="183"/>
      <c r="C946" s="183"/>
      <c r="D946" s="183"/>
      <c r="E946" s="183"/>
      <c r="F946" s="183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  <c r="AA946" s="183"/>
      <c r="AB946" s="183"/>
      <c r="AC946" s="183"/>
      <c r="AD946" s="183"/>
      <c r="AE946" s="183"/>
      <c r="AF946" s="183"/>
      <c r="AG946" s="183"/>
      <c r="AH946" s="183"/>
      <c r="AI946" s="183"/>
      <c r="AJ946" s="183"/>
      <c r="AK946" s="183"/>
      <c r="AL946" s="183"/>
      <c r="AM946" s="183"/>
      <c r="AN946" s="183"/>
    </row>
    <row r="947" spans="1:40" ht="13" customHeight="1">
      <c r="A947" s="183"/>
      <c r="B947" s="183"/>
      <c r="C947" s="183"/>
      <c r="D947" s="183"/>
      <c r="E947" s="183"/>
      <c r="F947" s="183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  <c r="AA947" s="183"/>
      <c r="AB947" s="183"/>
      <c r="AC947" s="183"/>
      <c r="AD947" s="183"/>
      <c r="AE947" s="183"/>
      <c r="AF947" s="183"/>
      <c r="AG947" s="183"/>
      <c r="AH947" s="183"/>
      <c r="AI947" s="183"/>
      <c r="AJ947" s="183"/>
      <c r="AK947" s="183"/>
      <c r="AL947" s="183"/>
      <c r="AM947" s="183"/>
      <c r="AN947" s="183"/>
    </row>
    <row r="948" spans="1:40" ht="13" customHeight="1">
      <c r="A948" s="183"/>
      <c r="B948" s="183"/>
      <c r="C948" s="183"/>
      <c r="D948" s="183"/>
      <c r="E948" s="183"/>
      <c r="F948" s="183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  <c r="AA948" s="183"/>
      <c r="AB948" s="183"/>
      <c r="AC948" s="183"/>
      <c r="AD948" s="183"/>
      <c r="AE948" s="183"/>
      <c r="AF948" s="183"/>
      <c r="AG948" s="183"/>
      <c r="AH948" s="183"/>
      <c r="AI948" s="183"/>
      <c r="AJ948" s="183"/>
      <c r="AK948" s="183"/>
      <c r="AL948" s="183"/>
      <c r="AM948" s="183"/>
      <c r="AN948" s="183"/>
    </row>
    <row r="949" spans="1:40" ht="13" customHeight="1">
      <c r="A949" s="183"/>
      <c r="B949" s="183"/>
      <c r="C949" s="183"/>
      <c r="D949" s="183"/>
      <c r="E949" s="183"/>
      <c r="F949" s="183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  <c r="AA949" s="183"/>
      <c r="AB949" s="183"/>
      <c r="AC949" s="183"/>
      <c r="AD949" s="183"/>
      <c r="AE949" s="183"/>
      <c r="AF949" s="183"/>
      <c r="AG949" s="183"/>
      <c r="AH949" s="183"/>
      <c r="AI949" s="183"/>
      <c r="AJ949" s="183"/>
      <c r="AK949" s="183"/>
      <c r="AL949" s="183"/>
      <c r="AM949" s="183"/>
      <c r="AN949" s="183"/>
    </row>
    <row r="950" spans="1:40" ht="13" customHeight="1">
      <c r="A950" s="183"/>
      <c r="B950" s="183"/>
      <c r="C950" s="183"/>
      <c r="D950" s="183"/>
      <c r="E950" s="183"/>
      <c r="F950" s="183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  <c r="AA950" s="183"/>
      <c r="AB950" s="183"/>
      <c r="AC950" s="183"/>
      <c r="AD950" s="183"/>
      <c r="AE950" s="183"/>
      <c r="AF950" s="183"/>
      <c r="AG950" s="183"/>
      <c r="AH950" s="183"/>
      <c r="AI950" s="183"/>
      <c r="AJ950" s="183"/>
      <c r="AK950" s="183"/>
      <c r="AL950" s="183"/>
      <c r="AM950" s="183"/>
      <c r="AN950" s="183"/>
    </row>
    <row r="951" spans="1:40" ht="13" customHeight="1">
      <c r="A951" s="183"/>
      <c r="B951" s="183"/>
      <c r="C951" s="183"/>
      <c r="D951" s="183"/>
      <c r="E951" s="183"/>
      <c r="F951" s="183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  <c r="AA951" s="183"/>
      <c r="AB951" s="183"/>
      <c r="AC951" s="183"/>
      <c r="AD951" s="183"/>
      <c r="AE951" s="183"/>
      <c r="AF951" s="183"/>
      <c r="AG951" s="183"/>
      <c r="AH951" s="183"/>
      <c r="AI951" s="183"/>
      <c r="AJ951" s="183"/>
      <c r="AK951" s="183"/>
      <c r="AL951" s="183"/>
      <c r="AM951" s="183"/>
      <c r="AN951" s="183"/>
    </row>
    <row r="952" spans="1:40" ht="13" customHeight="1">
      <c r="A952" s="183"/>
      <c r="B952" s="183"/>
      <c r="C952" s="183"/>
      <c r="D952" s="183"/>
      <c r="E952" s="183"/>
      <c r="F952" s="183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  <c r="AA952" s="183"/>
      <c r="AB952" s="183"/>
      <c r="AC952" s="183"/>
      <c r="AD952" s="183"/>
      <c r="AE952" s="183"/>
      <c r="AF952" s="183"/>
      <c r="AG952" s="183"/>
      <c r="AH952" s="183"/>
      <c r="AI952" s="183"/>
      <c r="AJ952" s="183"/>
      <c r="AK952" s="183"/>
      <c r="AL952" s="183"/>
      <c r="AM952" s="183"/>
      <c r="AN952" s="183"/>
    </row>
    <row r="953" spans="1:40" ht="13" customHeight="1">
      <c r="A953" s="183"/>
      <c r="B953" s="183"/>
      <c r="C953" s="183"/>
      <c r="D953" s="183"/>
      <c r="E953" s="183"/>
      <c r="F953" s="183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  <c r="AA953" s="183"/>
      <c r="AB953" s="183"/>
      <c r="AC953" s="183"/>
      <c r="AD953" s="183"/>
      <c r="AE953" s="183"/>
      <c r="AF953" s="183"/>
      <c r="AG953" s="183"/>
      <c r="AH953" s="183"/>
      <c r="AI953" s="183"/>
      <c r="AJ953" s="183"/>
      <c r="AK953" s="183"/>
      <c r="AL953" s="183"/>
      <c r="AM953" s="183"/>
      <c r="AN953" s="183"/>
    </row>
    <row r="954" spans="1:40" ht="13" customHeight="1">
      <c r="A954" s="183"/>
      <c r="B954" s="183"/>
      <c r="C954" s="183"/>
      <c r="D954" s="183"/>
      <c r="E954" s="183"/>
      <c r="F954" s="183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  <c r="AA954" s="183"/>
      <c r="AB954" s="183"/>
      <c r="AC954" s="183"/>
      <c r="AD954" s="183"/>
      <c r="AE954" s="183"/>
      <c r="AF954" s="183"/>
      <c r="AG954" s="183"/>
      <c r="AH954" s="183"/>
      <c r="AI954" s="183"/>
      <c r="AJ954" s="183"/>
      <c r="AK954" s="183"/>
      <c r="AL954" s="183"/>
      <c r="AM954" s="183"/>
      <c r="AN954" s="183"/>
    </row>
    <row r="955" spans="1:40" ht="13" customHeight="1">
      <c r="A955" s="183"/>
      <c r="B955" s="183"/>
      <c r="C955" s="183"/>
      <c r="D955" s="183"/>
      <c r="E955" s="183"/>
      <c r="F955" s="183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  <c r="AA955" s="183"/>
      <c r="AB955" s="183"/>
      <c r="AC955" s="183"/>
      <c r="AD955" s="183"/>
      <c r="AE955" s="183"/>
      <c r="AF955" s="183"/>
      <c r="AG955" s="183"/>
      <c r="AH955" s="183"/>
      <c r="AI955" s="183"/>
      <c r="AJ955" s="183"/>
      <c r="AK955" s="183"/>
      <c r="AL955" s="183"/>
      <c r="AM955" s="183"/>
      <c r="AN955" s="183"/>
    </row>
    <row r="956" spans="1:40" ht="13" customHeight="1">
      <c r="A956" s="183"/>
      <c r="B956" s="183"/>
      <c r="C956" s="183"/>
      <c r="D956" s="183"/>
      <c r="E956" s="183"/>
      <c r="F956" s="183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  <c r="AA956" s="183"/>
      <c r="AB956" s="183"/>
      <c r="AC956" s="183"/>
      <c r="AD956" s="183"/>
      <c r="AE956" s="183"/>
      <c r="AF956" s="183"/>
      <c r="AG956" s="183"/>
      <c r="AH956" s="183"/>
      <c r="AI956" s="183"/>
      <c r="AJ956" s="183"/>
      <c r="AK956" s="183"/>
      <c r="AL956" s="183"/>
      <c r="AM956" s="183"/>
      <c r="AN956" s="183"/>
    </row>
    <row r="957" spans="1:40" ht="13" customHeight="1">
      <c r="A957" s="183"/>
      <c r="B957" s="183"/>
      <c r="C957" s="183"/>
      <c r="D957" s="183"/>
      <c r="E957" s="183"/>
      <c r="F957" s="183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  <c r="AA957" s="183"/>
      <c r="AB957" s="183"/>
      <c r="AC957" s="183"/>
      <c r="AD957" s="183"/>
      <c r="AE957" s="183"/>
      <c r="AF957" s="183"/>
      <c r="AG957" s="183"/>
      <c r="AH957" s="183"/>
      <c r="AI957" s="183"/>
      <c r="AJ957" s="183"/>
      <c r="AK957" s="183"/>
      <c r="AL957" s="183"/>
      <c r="AM957" s="183"/>
      <c r="AN957" s="183"/>
    </row>
    <row r="958" spans="1:40" ht="13" customHeight="1">
      <c r="A958" s="183"/>
      <c r="B958" s="183"/>
      <c r="C958" s="183"/>
      <c r="D958" s="183"/>
      <c r="E958" s="183"/>
      <c r="F958" s="183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  <c r="AA958" s="183"/>
      <c r="AB958" s="183"/>
      <c r="AC958" s="183"/>
      <c r="AD958" s="183"/>
      <c r="AE958" s="183"/>
      <c r="AF958" s="183"/>
      <c r="AG958" s="183"/>
      <c r="AH958" s="183"/>
      <c r="AI958" s="183"/>
      <c r="AJ958" s="183"/>
      <c r="AK958" s="183"/>
      <c r="AL958" s="183"/>
      <c r="AM958" s="183"/>
      <c r="AN958" s="183"/>
    </row>
    <row r="959" spans="1:40" ht="13" customHeight="1">
      <c r="A959" s="183"/>
      <c r="B959" s="183"/>
      <c r="C959" s="183"/>
      <c r="D959" s="183"/>
      <c r="E959" s="183"/>
      <c r="F959" s="183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  <c r="AA959" s="183"/>
      <c r="AB959" s="183"/>
      <c r="AC959" s="183"/>
      <c r="AD959" s="183"/>
      <c r="AE959" s="183"/>
      <c r="AF959" s="183"/>
      <c r="AG959" s="183"/>
      <c r="AH959" s="183"/>
      <c r="AI959" s="183"/>
      <c r="AJ959" s="183"/>
      <c r="AK959" s="183"/>
      <c r="AL959" s="183"/>
      <c r="AM959" s="183"/>
      <c r="AN959" s="183"/>
    </row>
    <row r="960" spans="1:40" ht="13" customHeight="1">
      <c r="A960" s="183"/>
      <c r="B960" s="183"/>
      <c r="C960" s="183"/>
      <c r="D960" s="183"/>
      <c r="E960" s="183"/>
      <c r="F960" s="183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  <c r="AA960" s="183"/>
      <c r="AB960" s="183"/>
      <c r="AC960" s="183"/>
      <c r="AD960" s="183"/>
      <c r="AE960" s="183"/>
      <c r="AF960" s="183"/>
      <c r="AG960" s="183"/>
      <c r="AH960" s="183"/>
      <c r="AI960" s="183"/>
      <c r="AJ960" s="183"/>
      <c r="AK960" s="183"/>
      <c r="AL960" s="183"/>
      <c r="AM960" s="183"/>
      <c r="AN960" s="183"/>
    </row>
    <row r="961" spans="1:40" ht="13" customHeight="1">
      <c r="A961" s="183"/>
      <c r="B961" s="183"/>
      <c r="C961" s="183"/>
      <c r="D961" s="183"/>
      <c r="E961" s="183"/>
      <c r="F961" s="183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  <c r="AA961" s="183"/>
      <c r="AB961" s="183"/>
      <c r="AC961" s="183"/>
      <c r="AD961" s="183"/>
      <c r="AE961" s="183"/>
      <c r="AF961" s="183"/>
      <c r="AG961" s="183"/>
      <c r="AH961" s="183"/>
      <c r="AI961" s="183"/>
      <c r="AJ961" s="183"/>
      <c r="AK961" s="183"/>
      <c r="AL961" s="183"/>
      <c r="AM961" s="183"/>
      <c r="AN961" s="183"/>
    </row>
    <row r="962" spans="1:40" ht="13" customHeight="1">
      <c r="A962" s="183"/>
      <c r="B962" s="183"/>
      <c r="C962" s="183"/>
      <c r="D962" s="183"/>
      <c r="E962" s="183"/>
      <c r="F962" s="183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  <c r="AA962" s="183"/>
      <c r="AB962" s="183"/>
      <c r="AC962" s="183"/>
      <c r="AD962" s="183"/>
      <c r="AE962" s="183"/>
      <c r="AF962" s="183"/>
      <c r="AG962" s="183"/>
      <c r="AH962" s="183"/>
      <c r="AI962" s="183"/>
      <c r="AJ962" s="183"/>
      <c r="AK962" s="183"/>
      <c r="AL962" s="183"/>
      <c r="AM962" s="183"/>
      <c r="AN962" s="183"/>
    </row>
    <row r="963" spans="1:40" ht="13" customHeight="1">
      <c r="A963" s="183"/>
      <c r="B963" s="183"/>
      <c r="C963" s="183"/>
      <c r="D963" s="183"/>
      <c r="E963" s="183"/>
      <c r="F963" s="183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  <c r="AA963" s="183"/>
      <c r="AB963" s="183"/>
      <c r="AC963" s="183"/>
      <c r="AD963" s="183"/>
      <c r="AE963" s="183"/>
      <c r="AF963" s="183"/>
      <c r="AG963" s="183"/>
      <c r="AH963" s="183"/>
      <c r="AI963" s="183"/>
      <c r="AJ963" s="183"/>
      <c r="AK963" s="183"/>
      <c r="AL963" s="183"/>
      <c r="AM963" s="183"/>
      <c r="AN963" s="183"/>
    </row>
    <row r="964" spans="1:40" ht="13" customHeight="1">
      <c r="A964" s="183"/>
      <c r="B964" s="183"/>
      <c r="C964" s="183"/>
      <c r="D964" s="183"/>
      <c r="E964" s="183"/>
      <c r="F964" s="183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  <c r="AA964" s="183"/>
      <c r="AB964" s="183"/>
      <c r="AC964" s="183"/>
      <c r="AD964" s="183"/>
      <c r="AE964" s="183"/>
      <c r="AF964" s="183"/>
      <c r="AG964" s="183"/>
      <c r="AH964" s="183"/>
      <c r="AI964" s="183"/>
      <c r="AJ964" s="183"/>
      <c r="AK964" s="183"/>
      <c r="AL964" s="183"/>
      <c r="AM964" s="183"/>
      <c r="AN964" s="183"/>
    </row>
    <row r="965" spans="1:40" ht="13" customHeight="1">
      <c r="A965" s="183"/>
      <c r="B965" s="183"/>
      <c r="C965" s="183"/>
      <c r="D965" s="183"/>
      <c r="E965" s="183"/>
      <c r="F965" s="183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  <c r="AA965" s="183"/>
      <c r="AB965" s="183"/>
      <c r="AC965" s="183"/>
      <c r="AD965" s="183"/>
      <c r="AE965" s="183"/>
      <c r="AF965" s="183"/>
      <c r="AG965" s="183"/>
      <c r="AH965" s="183"/>
      <c r="AI965" s="183"/>
      <c r="AJ965" s="183"/>
      <c r="AK965" s="183"/>
      <c r="AL965" s="183"/>
      <c r="AM965" s="183"/>
      <c r="AN965" s="183"/>
    </row>
    <row r="966" spans="1:40" ht="13" customHeight="1">
      <c r="A966" s="183"/>
      <c r="B966" s="183"/>
      <c r="C966" s="183"/>
      <c r="D966" s="183"/>
      <c r="E966" s="183"/>
      <c r="F966" s="183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  <c r="AA966" s="183"/>
      <c r="AB966" s="183"/>
      <c r="AC966" s="183"/>
      <c r="AD966" s="183"/>
      <c r="AE966" s="183"/>
      <c r="AF966" s="183"/>
      <c r="AG966" s="183"/>
      <c r="AH966" s="183"/>
      <c r="AI966" s="183"/>
      <c r="AJ966" s="183"/>
      <c r="AK966" s="183"/>
      <c r="AL966" s="183"/>
      <c r="AM966" s="183"/>
      <c r="AN966" s="183"/>
    </row>
    <row r="967" spans="1:40" ht="13" customHeight="1">
      <c r="A967" s="183"/>
      <c r="B967" s="183"/>
      <c r="C967" s="183"/>
      <c r="D967" s="183"/>
      <c r="E967" s="183"/>
      <c r="F967" s="183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  <c r="AA967" s="183"/>
      <c r="AB967" s="183"/>
      <c r="AC967" s="183"/>
      <c r="AD967" s="183"/>
      <c r="AE967" s="183"/>
      <c r="AF967" s="183"/>
      <c r="AG967" s="183"/>
      <c r="AH967" s="183"/>
      <c r="AI967" s="183"/>
      <c r="AJ967" s="183"/>
      <c r="AK967" s="183"/>
      <c r="AL967" s="183"/>
      <c r="AM967" s="183"/>
      <c r="AN967" s="183"/>
    </row>
    <row r="968" spans="1:40" ht="13" customHeight="1">
      <c r="A968" s="183"/>
      <c r="B968" s="183"/>
      <c r="C968" s="183"/>
      <c r="D968" s="183"/>
      <c r="E968" s="183"/>
      <c r="F968" s="183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  <c r="AA968" s="183"/>
      <c r="AB968" s="183"/>
      <c r="AC968" s="183"/>
      <c r="AD968" s="183"/>
      <c r="AE968" s="183"/>
      <c r="AF968" s="183"/>
      <c r="AG968" s="183"/>
      <c r="AH968" s="183"/>
      <c r="AI968" s="183"/>
      <c r="AJ968" s="183"/>
      <c r="AK968" s="183"/>
      <c r="AL968" s="183"/>
      <c r="AM968" s="183"/>
      <c r="AN968" s="183"/>
    </row>
    <row r="969" spans="1:40" ht="13" customHeight="1">
      <c r="A969" s="183"/>
      <c r="B969" s="183"/>
      <c r="C969" s="183"/>
      <c r="D969" s="183"/>
      <c r="E969" s="183"/>
      <c r="F969" s="183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  <c r="AA969" s="183"/>
      <c r="AB969" s="183"/>
      <c r="AC969" s="183"/>
      <c r="AD969" s="183"/>
      <c r="AE969" s="183"/>
      <c r="AF969" s="183"/>
      <c r="AG969" s="183"/>
      <c r="AH969" s="183"/>
      <c r="AI969" s="183"/>
      <c r="AJ969" s="183"/>
      <c r="AK969" s="183"/>
      <c r="AL969" s="183"/>
      <c r="AM969" s="183"/>
      <c r="AN969" s="183"/>
    </row>
    <row r="970" spans="1:40" ht="13" customHeight="1">
      <c r="A970" s="183"/>
      <c r="B970" s="183"/>
      <c r="C970" s="183"/>
      <c r="D970" s="183"/>
      <c r="E970" s="183"/>
      <c r="F970" s="183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  <c r="AA970" s="183"/>
      <c r="AB970" s="183"/>
      <c r="AC970" s="183"/>
      <c r="AD970" s="183"/>
      <c r="AE970" s="183"/>
      <c r="AF970" s="183"/>
      <c r="AG970" s="183"/>
      <c r="AH970" s="183"/>
      <c r="AI970" s="183"/>
      <c r="AJ970" s="183"/>
      <c r="AK970" s="183"/>
      <c r="AL970" s="183"/>
      <c r="AM970" s="183"/>
      <c r="AN970" s="183"/>
    </row>
    <row r="971" spans="1:40" ht="13" customHeight="1">
      <c r="A971" s="183"/>
      <c r="B971" s="183"/>
      <c r="C971" s="183"/>
      <c r="D971" s="183"/>
      <c r="E971" s="183"/>
      <c r="F971" s="183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  <c r="AA971" s="183"/>
      <c r="AB971" s="183"/>
      <c r="AC971" s="183"/>
      <c r="AD971" s="183"/>
      <c r="AE971" s="183"/>
      <c r="AF971" s="183"/>
      <c r="AG971" s="183"/>
      <c r="AH971" s="183"/>
      <c r="AI971" s="183"/>
      <c r="AJ971" s="183"/>
      <c r="AK971" s="183"/>
      <c r="AL971" s="183"/>
      <c r="AM971" s="183"/>
      <c r="AN971" s="183"/>
    </row>
    <row r="972" spans="1:40" ht="13" customHeight="1">
      <c r="A972" s="183"/>
      <c r="B972" s="183"/>
      <c r="C972" s="183"/>
      <c r="D972" s="183"/>
      <c r="E972" s="183"/>
      <c r="F972" s="183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  <c r="AA972" s="183"/>
      <c r="AB972" s="183"/>
      <c r="AC972" s="183"/>
      <c r="AD972" s="183"/>
      <c r="AE972" s="183"/>
      <c r="AF972" s="183"/>
      <c r="AG972" s="183"/>
      <c r="AH972" s="183"/>
      <c r="AI972" s="183"/>
      <c r="AJ972" s="183"/>
      <c r="AK972" s="183"/>
      <c r="AL972" s="183"/>
      <c r="AM972" s="183"/>
      <c r="AN972" s="183"/>
    </row>
    <row r="973" spans="1:40" ht="13" customHeight="1">
      <c r="A973" s="183"/>
      <c r="B973" s="183"/>
      <c r="C973" s="183"/>
      <c r="D973" s="183"/>
      <c r="E973" s="183"/>
      <c r="F973" s="183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  <c r="AA973" s="183"/>
      <c r="AB973" s="183"/>
      <c r="AC973" s="183"/>
      <c r="AD973" s="183"/>
      <c r="AE973" s="183"/>
      <c r="AF973" s="183"/>
      <c r="AG973" s="183"/>
      <c r="AH973" s="183"/>
      <c r="AI973" s="183"/>
      <c r="AJ973" s="183"/>
      <c r="AK973" s="183"/>
      <c r="AL973" s="183"/>
      <c r="AM973" s="183"/>
      <c r="AN973" s="183"/>
    </row>
    <row r="974" spans="1:40" ht="13" customHeight="1">
      <c r="A974" s="183"/>
      <c r="B974" s="183"/>
      <c r="C974" s="183"/>
      <c r="D974" s="183"/>
      <c r="E974" s="183"/>
      <c r="F974" s="183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  <c r="AA974" s="183"/>
      <c r="AB974" s="183"/>
      <c r="AC974" s="183"/>
      <c r="AD974" s="183"/>
      <c r="AE974" s="183"/>
      <c r="AF974" s="183"/>
      <c r="AG974" s="183"/>
      <c r="AH974" s="183"/>
      <c r="AI974" s="183"/>
      <c r="AJ974" s="183"/>
      <c r="AK974" s="183"/>
      <c r="AL974" s="183"/>
      <c r="AM974" s="183"/>
      <c r="AN974" s="183"/>
    </row>
    <row r="975" spans="1:40" ht="13" customHeight="1">
      <c r="A975" s="183"/>
      <c r="B975" s="183"/>
      <c r="C975" s="183"/>
      <c r="D975" s="183"/>
      <c r="E975" s="183"/>
      <c r="F975" s="183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  <c r="AA975" s="183"/>
      <c r="AB975" s="183"/>
      <c r="AC975" s="183"/>
      <c r="AD975" s="183"/>
      <c r="AE975" s="183"/>
      <c r="AF975" s="183"/>
      <c r="AG975" s="183"/>
      <c r="AH975" s="183"/>
      <c r="AI975" s="183"/>
      <c r="AJ975" s="183"/>
      <c r="AK975" s="183"/>
      <c r="AL975" s="183"/>
      <c r="AM975" s="183"/>
      <c r="AN975" s="183"/>
    </row>
    <row r="976" spans="1:40" ht="13" customHeight="1">
      <c r="A976" s="183"/>
      <c r="B976" s="183"/>
      <c r="C976" s="183"/>
      <c r="D976" s="183"/>
      <c r="E976" s="183"/>
      <c r="F976" s="183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  <c r="AA976" s="183"/>
      <c r="AB976" s="183"/>
      <c r="AC976" s="183"/>
      <c r="AD976" s="183"/>
      <c r="AE976" s="183"/>
      <c r="AF976" s="183"/>
      <c r="AG976" s="183"/>
      <c r="AH976" s="183"/>
      <c r="AI976" s="183"/>
      <c r="AJ976" s="183"/>
      <c r="AK976" s="183"/>
      <c r="AL976" s="183"/>
      <c r="AM976" s="183"/>
      <c r="AN976" s="183"/>
    </row>
    <row r="977" spans="1:40" ht="13" customHeight="1">
      <c r="A977" s="183"/>
      <c r="B977" s="183"/>
      <c r="C977" s="183"/>
      <c r="D977" s="183"/>
      <c r="E977" s="183"/>
      <c r="F977" s="183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  <c r="AA977" s="183"/>
      <c r="AB977" s="183"/>
      <c r="AC977" s="183"/>
      <c r="AD977" s="183"/>
      <c r="AE977" s="183"/>
      <c r="AF977" s="183"/>
      <c r="AG977" s="183"/>
      <c r="AH977" s="183"/>
      <c r="AI977" s="183"/>
      <c r="AJ977" s="183"/>
      <c r="AK977" s="183"/>
      <c r="AL977" s="183"/>
      <c r="AM977" s="183"/>
      <c r="AN977" s="183"/>
    </row>
    <row r="978" spans="1:40" ht="13" customHeight="1">
      <c r="A978" s="183"/>
      <c r="B978" s="183"/>
      <c r="C978" s="183"/>
      <c r="D978" s="183"/>
      <c r="E978" s="183"/>
      <c r="F978" s="183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  <c r="AA978" s="183"/>
      <c r="AB978" s="183"/>
      <c r="AC978" s="183"/>
      <c r="AD978" s="183"/>
      <c r="AE978" s="183"/>
      <c r="AF978" s="183"/>
      <c r="AG978" s="183"/>
      <c r="AH978" s="183"/>
      <c r="AI978" s="183"/>
      <c r="AJ978" s="183"/>
      <c r="AK978" s="183"/>
      <c r="AL978" s="183"/>
      <c r="AM978" s="183"/>
      <c r="AN978" s="183"/>
    </row>
    <row r="979" spans="1:40" ht="13" customHeight="1">
      <c r="A979" s="183"/>
      <c r="B979" s="183"/>
      <c r="C979" s="183"/>
      <c r="D979" s="183"/>
      <c r="E979" s="183"/>
      <c r="F979" s="183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  <c r="AA979" s="183"/>
      <c r="AB979" s="183"/>
      <c r="AC979" s="183"/>
      <c r="AD979" s="183"/>
      <c r="AE979" s="183"/>
      <c r="AF979" s="183"/>
      <c r="AG979" s="183"/>
      <c r="AH979" s="183"/>
      <c r="AI979" s="183"/>
      <c r="AJ979" s="183"/>
      <c r="AK979" s="183"/>
      <c r="AL979" s="183"/>
      <c r="AM979" s="183"/>
      <c r="AN979" s="183"/>
    </row>
    <row r="980" spans="1:40" ht="13" customHeight="1">
      <c r="A980" s="183"/>
      <c r="B980" s="183"/>
      <c r="C980" s="183"/>
      <c r="D980" s="183"/>
      <c r="E980" s="183"/>
      <c r="F980" s="183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  <c r="AA980" s="183"/>
      <c r="AB980" s="183"/>
      <c r="AC980" s="183"/>
      <c r="AD980" s="183"/>
      <c r="AE980" s="183"/>
      <c r="AF980" s="183"/>
      <c r="AG980" s="183"/>
      <c r="AH980" s="183"/>
      <c r="AI980" s="183"/>
      <c r="AJ980" s="183"/>
      <c r="AK980" s="183"/>
      <c r="AL980" s="183"/>
      <c r="AM980" s="183"/>
      <c r="AN980" s="183"/>
    </row>
    <row r="981" spans="1:40" ht="13" customHeight="1">
      <c r="A981" s="183"/>
      <c r="B981" s="183"/>
      <c r="C981" s="183"/>
      <c r="D981" s="183"/>
      <c r="E981" s="183"/>
      <c r="F981" s="183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  <c r="AA981" s="183"/>
      <c r="AB981" s="183"/>
      <c r="AC981" s="183"/>
      <c r="AD981" s="183"/>
      <c r="AE981" s="183"/>
      <c r="AF981" s="183"/>
      <c r="AG981" s="183"/>
      <c r="AH981" s="183"/>
      <c r="AI981" s="183"/>
      <c r="AJ981" s="183"/>
      <c r="AK981" s="183"/>
      <c r="AL981" s="183"/>
      <c r="AM981" s="183"/>
      <c r="AN981" s="183"/>
    </row>
    <row r="982" spans="1:40" ht="13" customHeight="1">
      <c r="A982" s="183"/>
      <c r="B982" s="183"/>
      <c r="C982" s="183"/>
      <c r="D982" s="183"/>
      <c r="E982" s="183"/>
      <c r="F982" s="183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  <c r="AA982" s="183"/>
      <c r="AB982" s="183"/>
      <c r="AC982" s="183"/>
      <c r="AD982" s="183"/>
      <c r="AE982" s="183"/>
      <c r="AF982" s="183"/>
      <c r="AG982" s="183"/>
      <c r="AH982" s="183"/>
      <c r="AI982" s="183"/>
      <c r="AJ982" s="183"/>
      <c r="AK982" s="183"/>
      <c r="AL982" s="183"/>
      <c r="AM982" s="183"/>
      <c r="AN982" s="183"/>
    </row>
    <row r="983" spans="1:40" ht="13" customHeight="1">
      <c r="A983" s="183"/>
      <c r="B983" s="183"/>
      <c r="C983" s="183"/>
      <c r="D983" s="183"/>
      <c r="E983" s="183"/>
      <c r="F983" s="183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  <c r="AA983" s="183"/>
      <c r="AB983" s="183"/>
      <c r="AC983" s="183"/>
      <c r="AD983" s="183"/>
      <c r="AE983" s="183"/>
      <c r="AF983" s="183"/>
      <c r="AG983" s="183"/>
      <c r="AH983" s="183"/>
      <c r="AI983" s="183"/>
      <c r="AJ983" s="183"/>
      <c r="AK983" s="183"/>
      <c r="AL983" s="183"/>
      <c r="AM983" s="183"/>
      <c r="AN983" s="183"/>
    </row>
    <row r="984" spans="1:40" ht="13" customHeight="1">
      <c r="A984" s="183"/>
      <c r="B984" s="183"/>
      <c r="C984" s="183"/>
      <c r="D984" s="183"/>
      <c r="E984" s="183"/>
      <c r="F984" s="183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  <c r="AA984" s="183"/>
      <c r="AB984" s="183"/>
      <c r="AC984" s="183"/>
      <c r="AD984" s="183"/>
      <c r="AE984" s="183"/>
      <c r="AF984" s="183"/>
      <c r="AG984" s="183"/>
      <c r="AH984" s="183"/>
      <c r="AI984" s="183"/>
      <c r="AJ984" s="183"/>
      <c r="AK984" s="183"/>
      <c r="AL984" s="183"/>
      <c r="AM984" s="183"/>
      <c r="AN984" s="183"/>
    </row>
    <row r="985" spans="1:40" ht="13" customHeight="1">
      <c r="A985" s="183"/>
      <c r="B985" s="183"/>
      <c r="C985" s="183"/>
      <c r="D985" s="183"/>
      <c r="E985" s="183"/>
      <c r="F985" s="183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  <c r="Q985" s="183"/>
      <c r="R985" s="183"/>
      <c r="S985" s="183"/>
      <c r="T985" s="183"/>
      <c r="U985" s="183"/>
      <c r="V985" s="183"/>
      <c r="W985" s="183"/>
      <c r="X985" s="183"/>
      <c r="Y985" s="183"/>
      <c r="Z985" s="183"/>
      <c r="AA985" s="183"/>
      <c r="AB985" s="183"/>
      <c r="AC985" s="183"/>
      <c r="AD985" s="183"/>
      <c r="AE985" s="183"/>
      <c r="AF985" s="183"/>
      <c r="AG985" s="183"/>
      <c r="AH985" s="183"/>
      <c r="AI985" s="183"/>
      <c r="AJ985" s="183"/>
      <c r="AK985" s="183"/>
      <c r="AL985" s="183"/>
      <c r="AM985" s="183"/>
      <c r="AN985" s="183"/>
    </row>
    <row r="986" spans="1:40" ht="13" customHeight="1">
      <c r="A986" s="183"/>
      <c r="B986" s="183"/>
      <c r="C986" s="183"/>
      <c r="D986" s="183"/>
      <c r="E986" s="183"/>
      <c r="F986" s="183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  <c r="Q986" s="183"/>
      <c r="R986" s="183"/>
      <c r="S986" s="183"/>
      <c r="T986" s="183"/>
      <c r="U986" s="183"/>
      <c r="V986" s="183"/>
      <c r="W986" s="183"/>
      <c r="X986" s="183"/>
      <c r="Y986" s="183"/>
      <c r="Z986" s="183"/>
      <c r="AA986" s="183"/>
      <c r="AB986" s="183"/>
      <c r="AC986" s="183"/>
      <c r="AD986" s="183"/>
      <c r="AE986" s="183"/>
      <c r="AF986" s="183"/>
      <c r="AG986" s="183"/>
      <c r="AH986" s="183"/>
      <c r="AI986" s="183"/>
      <c r="AJ986" s="183"/>
      <c r="AK986" s="183"/>
      <c r="AL986" s="183"/>
      <c r="AM986" s="183"/>
      <c r="AN986" s="183"/>
    </row>
    <row r="987" spans="1:40" ht="13" customHeight="1">
      <c r="A987" s="183"/>
      <c r="B987" s="183"/>
      <c r="C987" s="183"/>
      <c r="D987" s="183"/>
      <c r="E987" s="183"/>
      <c r="F987" s="183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  <c r="Q987" s="183"/>
      <c r="R987" s="183"/>
      <c r="S987" s="183"/>
      <c r="T987" s="183"/>
      <c r="U987" s="183"/>
      <c r="V987" s="183"/>
      <c r="W987" s="183"/>
      <c r="X987" s="183"/>
      <c r="Y987" s="183"/>
      <c r="Z987" s="183"/>
      <c r="AA987" s="183"/>
      <c r="AB987" s="183"/>
      <c r="AC987" s="183"/>
      <c r="AD987" s="183"/>
      <c r="AE987" s="183"/>
      <c r="AF987" s="183"/>
      <c r="AG987" s="183"/>
      <c r="AH987" s="183"/>
      <c r="AI987" s="183"/>
      <c r="AJ987" s="183"/>
      <c r="AK987" s="183"/>
      <c r="AL987" s="183"/>
      <c r="AM987" s="183"/>
      <c r="AN987" s="183"/>
    </row>
    <row r="988" spans="1:40" ht="13" customHeight="1">
      <c r="A988" s="183"/>
      <c r="B988" s="183"/>
      <c r="C988" s="183"/>
      <c r="D988" s="183"/>
      <c r="E988" s="183"/>
      <c r="F988" s="183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  <c r="Q988" s="183"/>
      <c r="R988" s="183"/>
      <c r="S988" s="183"/>
      <c r="T988" s="183"/>
      <c r="U988" s="183"/>
      <c r="V988" s="183"/>
      <c r="W988" s="183"/>
      <c r="X988" s="183"/>
      <c r="Y988" s="183"/>
      <c r="Z988" s="183"/>
      <c r="AA988" s="183"/>
      <c r="AB988" s="183"/>
      <c r="AC988" s="183"/>
      <c r="AD988" s="183"/>
      <c r="AE988" s="183"/>
      <c r="AF988" s="183"/>
      <c r="AG988" s="183"/>
      <c r="AH988" s="183"/>
      <c r="AI988" s="183"/>
      <c r="AJ988" s="183"/>
      <c r="AK988" s="183"/>
      <c r="AL988" s="183"/>
      <c r="AM988" s="183"/>
      <c r="AN988" s="183"/>
    </row>
    <row r="989" spans="1:40" ht="13" customHeight="1">
      <c r="A989" s="183"/>
      <c r="B989" s="183"/>
      <c r="C989" s="183"/>
      <c r="D989" s="183"/>
      <c r="E989" s="183"/>
      <c r="F989" s="183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  <c r="Q989" s="183"/>
      <c r="R989" s="183"/>
      <c r="S989" s="183"/>
      <c r="T989" s="183"/>
      <c r="U989" s="183"/>
      <c r="V989" s="183"/>
      <c r="W989" s="183"/>
      <c r="X989" s="183"/>
      <c r="Y989" s="183"/>
      <c r="Z989" s="183"/>
      <c r="AA989" s="183"/>
      <c r="AB989" s="183"/>
      <c r="AC989" s="183"/>
      <c r="AD989" s="183"/>
      <c r="AE989" s="183"/>
      <c r="AF989" s="183"/>
      <c r="AG989" s="183"/>
      <c r="AH989" s="183"/>
      <c r="AI989" s="183"/>
      <c r="AJ989" s="183"/>
      <c r="AK989" s="183"/>
      <c r="AL989" s="183"/>
      <c r="AM989" s="183"/>
      <c r="AN989" s="183"/>
    </row>
    <row r="990" spans="1:40" ht="13" customHeight="1">
      <c r="A990" s="183"/>
      <c r="B990" s="183"/>
      <c r="C990" s="183"/>
      <c r="D990" s="183"/>
      <c r="E990" s="183"/>
      <c r="F990" s="183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  <c r="Q990" s="183"/>
      <c r="R990" s="183"/>
      <c r="S990" s="183"/>
      <c r="T990" s="183"/>
      <c r="U990" s="183"/>
      <c r="V990" s="183"/>
      <c r="W990" s="183"/>
      <c r="X990" s="183"/>
      <c r="Y990" s="183"/>
      <c r="Z990" s="183"/>
      <c r="AA990" s="183"/>
      <c r="AB990" s="183"/>
      <c r="AC990" s="183"/>
      <c r="AD990" s="183"/>
      <c r="AE990" s="183"/>
      <c r="AF990" s="183"/>
      <c r="AG990" s="183"/>
      <c r="AH990" s="183"/>
      <c r="AI990" s="183"/>
      <c r="AJ990" s="183"/>
      <c r="AK990" s="183"/>
      <c r="AL990" s="183"/>
      <c r="AM990" s="183"/>
      <c r="AN990" s="183"/>
    </row>
    <row r="991" spans="1:40" ht="13" customHeight="1">
      <c r="A991" s="183"/>
      <c r="B991" s="183"/>
      <c r="C991" s="183"/>
      <c r="D991" s="183"/>
      <c r="E991" s="183"/>
      <c r="F991" s="183"/>
      <c r="G991" s="183"/>
      <c r="H991" s="183"/>
      <c r="I991" s="183"/>
      <c r="J991" s="183"/>
      <c r="K991" s="183"/>
      <c r="L991" s="183"/>
      <c r="M991" s="183"/>
      <c r="N991" s="183"/>
      <c r="O991" s="183"/>
      <c r="P991" s="183"/>
      <c r="Q991" s="183"/>
      <c r="R991" s="183"/>
      <c r="S991" s="183"/>
      <c r="T991" s="183"/>
      <c r="U991" s="183"/>
      <c r="V991" s="183"/>
      <c r="W991" s="183"/>
      <c r="X991" s="183"/>
      <c r="Y991" s="183"/>
      <c r="Z991" s="183"/>
      <c r="AA991" s="183"/>
      <c r="AB991" s="183"/>
      <c r="AC991" s="183"/>
      <c r="AD991" s="183"/>
      <c r="AE991" s="183"/>
      <c r="AF991" s="183"/>
      <c r="AG991" s="183"/>
      <c r="AH991" s="183"/>
      <c r="AI991" s="183"/>
      <c r="AJ991" s="183"/>
      <c r="AK991" s="183"/>
      <c r="AL991" s="183"/>
      <c r="AM991" s="183"/>
      <c r="AN991" s="183"/>
    </row>
    <row r="992" spans="1:40" ht="13" customHeight="1">
      <c r="A992" s="183"/>
      <c r="B992" s="183"/>
      <c r="C992" s="183"/>
      <c r="D992" s="183"/>
      <c r="E992" s="183"/>
      <c r="F992" s="183"/>
      <c r="G992" s="183"/>
      <c r="H992" s="183"/>
      <c r="I992" s="183"/>
      <c r="J992" s="183"/>
      <c r="K992" s="183"/>
      <c r="L992" s="183"/>
      <c r="M992" s="183"/>
      <c r="N992" s="183"/>
      <c r="O992" s="183"/>
      <c r="P992" s="183"/>
      <c r="Q992" s="183"/>
      <c r="R992" s="183"/>
      <c r="S992" s="183"/>
      <c r="T992" s="183"/>
      <c r="U992" s="183"/>
      <c r="V992" s="183"/>
      <c r="W992" s="183"/>
      <c r="X992" s="183"/>
      <c r="Y992" s="183"/>
      <c r="Z992" s="183"/>
      <c r="AA992" s="183"/>
      <c r="AB992" s="183"/>
      <c r="AC992" s="183"/>
      <c r="AD992" s="183"/>
      <c r="AE992" s="183"/>
      <c r="AF992" s="183"/>
      <c r="AG992" s="183"/>
      <c r="AH992" s="183"/>
      <c r="AI992" s="183"/>
      <c r="AJ992" s="183"/>
      <c r="AK992" s="183"/>
      <c r="AL992" s="183"/>
      <c r="AM992" s="183"/>
      <c r="AN992" s="183"/>
    </row>
    <row r="993" spans="1:40" ht="13" customHeight="1">
      <c r="A993" s="183"/>
      <c r="B993" s="183"/>
      <c r="C993" s="183"/>
      <c r="D993" s="183"/>
      <c r="E993" s="183"/>
      <c r="F993" s="183"/>
      <c r="G993" s="183"/>
      <c r="H993" s="183"/>
      <c r="I993" s="183"/>
      <c r="J993" s="183"/>
      <c r="K993" s="183"/>
      <c r="L993" s="183"/>
      <c r="M993" s="183"/>
      <c r="N993" s="183"/>
      <c r="O993" s="183"/>
      <c r="P993" s="183"/>
      <c r="Q993" s="183"/>
      <c r="R993" s="183"/>
      <c r="S993" s="183"/>
      <c r="T993" s="183"/>
      <c r="U993" s="183"/>
      <c r="V993" s="183"/>
      <c r="W993" s="183"/>
      <c r="X993" s="183"/>
      <c r="Y993" s="183"/>
      <c r="Z993" s="183"/>
      <c r="AA993" s="183"/>
      <c r="AB993" s="183"/>
      <c r="AC993" s="183"/>
      <c r="AD993" s="183"/>
      <c r="AE993" s="183"/>
      <c r="AF993" s="183"/>
      <c r="AG993" s="183"/>
      <c r="AH993" s="183"/>
      <c r="AI993" s="183"/>
      <c r="AJ993" s="183"/>
      <c r="AK993" s="183"/>
      <c r="AL993" s="183"/>
      <c r="AM993" s="183"/>
      <c r="AN993" s="183"/>
    </row>
    <row r="994" spans="1:40" ht="13" customHeight="1">
      <c r="A994" s="183"/>
      <c r="B994" s="183"/>
      <c r="C994" s="183"/>
      <c r="D994" s="183"/>
      <c r="E994" s="183"/>
      <c r="F994" s="183"/>
      <c r="G994" s="183"/>
      <c r="H994" s="183"/>
      <c r="I994" s="183"/>
      <c r="J994" s="183"/>
      <c r="K994" s="183"/>
      <c r="L994" s="183"/>
      <c r="M994" s="183"/>
      <c r="N994" s="183"/>
      <c r="O994" s="183"/>
      <c r="P994" s="183"/>
      <c r="Q994" s="183"/>
      <c r="R994" s="183"/>
      <c r="S994" s="183"/>
      <c r="T994" s="183"/>
      <c r="U994" s="183"/>
      <c r="V994" s="183"/>
      <c r="W994" s="183"/>
      <c r="X994" s="183"/>
      <c r="Y994" s="183"/>
      <c r="Z994" s="183"/>
      <c r="AA994" s="183"/>
      <c r="AB994" s="183"/>
      <c r="AC994" s="183"/>
      <c r="AD994" s="183"/>
      <c r="AE994" s="183"/>
      <c r="AF994" s="183"/>
      <c r="AG994" s="183"/>
      <c r="AH994" s="183"/>
      <c r="AI994" s="183"/>
      <c r="AJ994" s="183"/>
      <c r="AK994" s="183"/>
      <c r="AL994" s="183"/>
      <c r="AM994" s="183"/>
      <c r="AN994" s="183"/>
    </row>
    <row r="995" spans="1:40" ht="13" customHeight="1">
      <c r="A995" s="183"/>
      <c r="B995" s="183"/>
      <c r="C995" s="183"/>
      <c r="D995" s="183"/>
      <c r="E995" s="183"/>
      <c r="F995" s="183"/>
      <c r="G995" s="183"/>
      <c r="H995" s="183"/>
      <c r="I995" s="183"/>
      <c r="J995" s="183"/>
      <c r="K995" s="183"/>
      <c r="L995" s="183"/>
      <c r="M995" s="183"/>
      <c r="N995" s="183"/>
      <c r="O995" s="183"/>
      <c r="P995" s="183"/>
      <c r="Q995" s="183"/>
      <c r="R995" s="183"/>
      <c r="S995" s="183"/>
      <c r="T995" s="183"/>
      <c r="U995" s="183"/>
      <c r="V995" s="183"/>
      <c r="W995" s="183"/>
      <c r="X995" s="183"/>
      <c r="Y995" s="183"/>
      <c r="Z995" s="183"/>
      <c r="AA995" s="183"/>
      <c r="AB995" s="183"/>
      <c r="AC995" s="183"/>
      <c r="AD995" s="183"/>
      <c r="AE995" s="183"/>
      <c r="AF995" s="183"/>
      <c r="AG995" s="183"/>
      <c r="AH995" s="183"/>
      <c r="AI995" s="183"/>
      <c r="AJ995" s="183"/>
      <c r="AK995" s="183"/>
      <c r="AL995" s="183"/>
      <c r="AM995" s="183"/>
      <c r="AN995" s="183"/>
    </row>
    <row r="996" spans="1:40" ht="13" customHeight="1">
      <c r="A996" s="183"/>
      <c r="B996" s="183"/>
      <c r="C996" s="183"/>
      <c r="D996" s="183"/>
      <c r="E996" s="183"/>
      <c r="F996" s="183"/>
      <c r="G996" s="183"/>
      <c r="H996" s="183"/>
      <c r="I996" s="183"/>
      <c r="J996" s="183"/>
      <c r="K996" s="183"/>
      <c r="L996" s="183"/>
      <c r="M996" s="183"/>
      <c r="N996" s="183"/>
      <c r="O996" s="183"/>
      <c r="P996" s="183"/>
      <c r="Q996" s="183"/>
      <c r="R996" s="183"/>
      <c r="S996" s="183"/>
      <c r="T996" s="183"/>
      <c r="U996" s="183"/>
      <c r="V996" s="183"/>
      <c r="W996" s="183"/>
      <c r="X996" s="183"/>
      <c r="Y996" s="183"/>
      <c r="Z996" s="183"/>
      <c r="AA996" s="183"/>
      <c r="AB996" s="183"/>
      <c r="AC996" s="183"/>
      <c r="AD996" s="183"/>
      <c r="AE996" s="183"/>
      <c r="AF996" s="183"/>
      <c r="AG996" s="183"/>
      <c r="AH996" s="183"/>
      <c r="AI996" s="183"/>
      <c r="AJ996" s="183"/>
      <c r="AK996" s="183"/>
      <c r="AL996" s="183"/>
      <c r="AM996" s="183"/>
      <c r="AN996" s="183"/>
    </row>
    <row r="997" spans="1:40" ht="13" customHeight="1">
      <c r="A997" s="183"/>
      <c r="B997" s="183"/>
      <c r="C997" s="183"/>
      <c r="D997" s="183"/>
      <c r="E997" s="183"/>
      <c r="F997" s="183"/>
      <c r="G997" s="183"/>
      <c r="H997" s="183"/>
      <c r="I997" s="183"/>
      <c r="J997" s="183"/>
      <c r="K997" s="183"/>
      <c r="L997" s="183"/>
      <c r="M997" s="183"/>
      <c r="N997" s="183"/>
      <c r="O997" s="183"/>
      <c r="P997" s="183"/>
      <c r="Q997" s="183"/>
      <c r="R997" s="183"/>
      <c r="S997" s="183"/>
      <c r="T997" s="183"/>
      <c r="U997" s="183"/>
      <c r="V997" s="183"/>
      <c r="W997" s="183"/>
      <c r="X997" s="183"/>
      <c r="Y997" s="183"/>
      <c r="Z997" s="183"/>
      <c r="AA997" s="183"/>
      <c r="AB997" s="183"/>
      <c r="AC997" s="183"/>
      <c r="AD997" s="183"/>
      <c r="AE997" s="183"/>
      <c r="AF997" s="183"/>
      <c r="AG997" s="183"/>
      <c r="AH997" s="183"/>
      <c r="AI997" s="183"/>
      <c r="AJ997" s="183"/>
      <c r="AK997" s="183"/>
      <c r="AL997" s="183"/>
      <c r="AM997" s="183"/>
      <c r="AN997" s="183"/>
    </row>
    <row r="998" spans="1:40" ht="13" customHeight="1">
      <c r="A998" s="183"/>
      <c r="B998" s="183"/>
      <c r="C998" s="183"/>
      <c r="D998" s="183"/>
      <c r="E998" s="183"/>
      <c r="F998" s="183"/>
      <c r="G998" s="183"/>
      <c r="H998" s="183"/>
      <c r="I998" s="183"/>
      <c r="J998" s="183"/>
      <c r="K998" s="183"/>
      <c r="L998" s="183"/>
      <c r="M998" s="183"/>
      <c r="N998" s="183"/>
      <c r="O998" s="183"/>
      <c r="P998" s="183"/>
      <c r="Q998" s="183"/>
      <c r="R998" s="183"/>
      <c r="S998" s="183"/>
      <c r="T998" s="183"/>
      <c r="U998" s="183"/>
      <c r="V998" s="183"/>
      <c r="W998" s="183"/>
      <c r="X998" s="183"/>
      <c r="Y998" s="183"/>
      <c r="Z998" s="183"/>
      <c r="AA998" s="183"/>
      <c r="AB998" s="183"/>
      <c r="AC998" s="183"/>
      <c r="AD998" s="183"/>
      <c r="AE998" s="183"/>
      <c r="AF998" s="183"/>
      <c r="AG998" s="183"/>
      <c r="AH998" s="183"/>
      <c r="AI998" s="183"/>
      <c r="AJ998" s="183"/>
      <c r="AK998" s="183"/>
      <c r="AL998" s="183"/>
      <c r="AM998" s="183"/>
      <c r="AN998" s="183"/>
    </row>
    <row r="999" spans="1:40" ht="13" customHeight="1">
      <c r="A999" s="183"/>
      <c r="B999" s="183"/>
      <c r="C999" s="183"/>
      <c r="D999" s="183"/>
      <c r="E999" s="183"/>
      <c r="F999" s="183"/>
      <c r="G999" s="183"/>
      <c r="H999" s="183"/>
      <c r="I999" s="183"/>
      <c r="J999" s="183"/>
      <c r="K999" s="183"/>
      <c r="L999" s="183"/>
      <c r="M999" s="183"/>
      <c r="N999" s="183"/>
      <c r="O999" s="183"/>
      <c r="P999" s="183"/>
      <c r="Q999" s="183"/>
      <c r="R999" s="183"/>
      <c r="S999" s="183"/>
      <c r="T999" s="183"/>
      <c r="U999" s="183"/>
      <c r="V999" s="183"/>
      <c r="W999" s="183"/>
      <c r="X999" s="183"/>
      <c r="Y999" s="183"/>
      <c r="Z999" s="183"/>
      <c r="AA999" s="183"/>
      <c r="AB999" s="183"/>
      <c r="AC999" s="183"/>
      <c r="AD999" s="183"/>
      <c r="AE999" s="183"/>
      <c r="AF999" s="183"/>
      <c r="AG999" s="183"/>
      <c r="AH999" s="183"/>
      <c r="AI999" s="183"/>
      <c r="AJ999" s="183"/>
      <c r="AK999" s="183"/>
      <c r="AL999" s="183"/>
      <c r="AM999" s="183"/>
      <c r="AN999" s="183"/>
    </row>
    <row r="1000" spans="1:40" ht="13" customHeight="1">
      <c r="A1000" s="183"/>
      <c r="B1000" s="183"/>
      <c r="C1000" s="183"/>
      <c r="D1000" s="183"/>
      <c r="E1000" s="183"/>
      <c r="F1000" s="183"/>
      <c r="G1000" s="183"/>
      <c r="H1000" s="183"/>
      <c r="I1000" s="183"/>
      <c r="J1000" s="183"/>
      <c r="K1000" s="183"/>
      <c r="L1000" s="183"/>
      <c r="M1000" s="183"/>
      <c r="N1000" s="183"/>
      <c r="O1000" s="183"/>
      <c r="P1000" s="183"/>
      <c r="Q1000" s="183"/>
      <c r="R1000" s="183"/>
      <c r="S1000" s="183"/>
      <c r="T1000" s="183"/>
      <c r="U1000" s="183"/>
      <c r="V1000" s="183"/>
      <c r="W1000" s="183"/>
      <c r="X1000" s="183"/>
      <c r="Y1000" s="183"/>
      <c r="Z1000" s="183"/>
      <c r="AA1000" s="183"/>
      <c r="AB1000" s="183"/>
      <c r="AC1000" s="183"/>
      <c r="AD1000" s="183"/>
      <c r="AE1000" s="183"/>
      <c r="AF1000" s="183"/>
      <c r="AG1000" s="183"/>
      <c r="AH1000" s="183"/>
      <c r="AI1000" s="183"/>
      <c r="AJ1000" s="183"/>
      <c r="AK1000" s="183"/>
      <c r="AL1000" s="183"/>
      <c r="AM1000" s="183"/>
      <c r="AN1000" s="183"/>
    </row>
    <row r="1001" spans="1:40" ht="13" customHeight="1">
      <c r="A1001" s="183"/>
      <c r="B1001" s="183"/>
      <c r="C1001" s="183"/>
      <c r="D1001" s="183"/>
      <c r="E1001" s="183"/>
      <c r="F1001" s="183"/>
      <c r="G1001" s="183"/>
      <c r="H1001" s="183"/>
      <c r="I1001" s="183"/>
      <c r="J1001" s="183"/>
      <c r="K1001" s="183"/>
      <c r="L1001" s="183"/>
      <c r="M1001" s="183"/>
      <c r="N1001" s="183"/>
      <c r="O1001" s="183"/>
      <c r="P1001" s="183"/>
      <c r="Q1001" s="183"/>
      <c r="R1001" s="183"/>
      <c r="S1001" s="183"/>
      <c r="T1001" s="183"/>
      <c r="U1001" s="183"/>
      <c r="V1001" s="183"/>
      <c r="W1001" s="183"/>
      <c r="X1001" s="183"/>
      <c r="Y1001" s="183"/>
      <c r="Z1001" s="183"/>
      <c r="AA1001" s="183"/>
      <c r="AB1001" s="183"/>
      <c r="AC1001" s="183"/>
      <c r="AD1001" s="183"/>
      <c r="AE1001" s="183"/>
      <c r="AF1001" s="183"/>
      <c r="AG1001" s="183"/>
      <c r="AH1001" s="183"/>
      <c r="AI1001" s="183"/>
      <c r="AJ1001" s="183"/>
      <c r="AK1001" s="183"/>
      <c r="AL1001" s="183"/>
      <c r="AM1001" s="183"/>
      <c r="AN1001" s="183"/>
    </row>
    <row r="1002" spans="1:40" ht="13" customHeight="1">
      <c r="A1002" s="183"/>
      <c r="B1002" s="183"/>
      <c r="C1002" s="183"/>
      <c r="D1002" s="183"/>
      <c r="E1002" s="183"/>
      <c r="F1002" s="183"/>
      <c r="G1002" s="183"/>
      <c r="H1002" s="183"/>
      <c r="I1002" s="183"/>
      <c r="J1002" s="183"/>
      <c r="K1002" s="183"/>
      <c r="L1002" s="183"/>
      <c r="M1002" s="183"/>
      <c r="N1002" s="183"/>
      <c r="O1002" s="183"/>
      <c r="P1002" s="183"/>
      <c r="Q1002" s="183"/>
      <c r="R1002" s="183"/>
      <c r="S1002" s="183"/>
      <c r="T1002" s="183"/>
      <c r="U1002" s="183"/>
      <c r="V1002" s="183"/>
      <c r="W1002" s="183"/>
      <c r="X1002" s="183"/>
      <c r="Y1002" s="183"/>
      <c r="Z1002" s="183"/>
      <c r="AA1002" s="183"/>
      <c r="AB1002" s="183"/>
      <c r="AC1002" s="183"/>
      <c r="AD1002" s="183"/>
      <c r="AE1002" s="183"/>
      <c r="AF1002" s="183"/>
      <c r="AG1002" s="183"/>
      <c r="AH1002" s="183"/>
      <c r="AI1002" s="183"/>
      <c r="AJ1002" s="183"/>
      <c r="AK1002" s="183"/>
      <c r="AL1002" s="183"/>
      <c r="AM1002" s="183"/>
      <c r="AN1002" s="183"/>
    </row>
    <row r="1003" spans="1:40" ht="13" customHeight="1">
      <c r="A1003" s="183"/>
      <c r="B1003" s="183"/>
      <c r="C1003" s="183"/>
      <c r="D1003" s="183"/>
      <c r="E1003" s="183"/>
      <c r="F1003" s="183"/>
      <c r="G1003" s="183"/>
      <c r="H1003" s="183"/>
      <c r="I1003" s="183"/>
      <c r="J1003" s="183"/>
      <c r="K1003" s="183"/>
      <c r="L1003" s="183"/>
      <c r="M1003" s="183"/>
      <c r="N1003" s="183"/>
      <c r="O1003" s="183"/>
      <c r="P1003" s="183"/>
      <c r="Q1003" s="183"/>
      <c r="R1003" s="183"/>
      <c r="S1003" s="183"/>
      <c r="T1003" s="183"/>
      <c r="U1003" s="183"/>
      <c r="V1003" s="183"/>
      <c r="W1003" s="183"/>
      <c r="X1003" s="183"/>
      <c r="Y1003" s="183"/>
      <c r="Z1003" s="183"/>
      <c r="AA1003" s="183"/>
      <c r="AB1003" s="183"/>
      <c r="AC1003" s="183"/>
      <c r="AD1003" s="183"/>
      <c r="AE1003" s="183"/>
      <c r="AF1003" s="183"/>
      <c r="AG1003" s="183"/>
      <c r="AH1003" s="183"/>
      <c r="AI1003" s="183"/>
      <c r="AJ1003" s="183"/>
      <c r="AK1003" s="183"/>
      <c r="AL1003" s="183"/>
      <c r="AM1003" s="183"/>
      <c r="AN1003" s="183"/>
    </row>
    <row r="1004" spans="1:40" ht="13" customHeight="1">
      <c r="A1004" s="183"/>
      <c r="B1004" s="183"/>
      <c r="C1004" s="183"/>
      <c r="D1004" s="183"/>
      <c r="E1004" s="183"/>
      <c r="F1004" s="183"/>
      <c r="G1004" s="183"/>
      <c r="H1004" s="183"/>
      <c r="I1004" s="183"/>
      <c r="J1004" s="183"/>
      <c r="K1004" s="183"/>
      <c r="L1004" s="183"/>
      <c r="M1004" s="183"/>
      <c r="N1004" s="183"/>
      <c r="O1004" s="183"/>
      <c r="P1004" s="183"/>
      <c r="Q1004" s="183"/>
      <c r="R1004" s="183"/>
      <c r="S1004" s="183"/>
      <c r="T1004" s="183"/>
      <c r="U1004" s="183"/>
      <c r="V1004" s="183"/>
      <c r="W1004" s="183"/>
      <c r="X1004" s="183"/>
      <c r="Y1004" s="183"/>
      <c r="Z1004" s="183"/>
      <c r="AA1004" s="183"/>
      <c r="AB1004" s="183"/>
      <c r="AC1004" s="183"/>
      <c r="AD1004" s="183"/>
      <c r="AE1004" s="183"/>
      <c r="AF1004" s="183"/>
      <c r="AG1004" s="183"/>
      <c r="AH1004" s="183"/>
      <c r="AI1004" s="183"/>
      <c r="AJ1004" s="183"/>
      <c r="AK1004" s="183"/>
      <c r="AL1004" s="183"/>
      <c r="AM1004" s="183"/>
      <c r="AN1004" s="183"/>
    </row>
    <row r="1005" spans="1:40" ht="13" customHeight="1">
      <c r="A1005" s="183"/>
      <c r="B1005" s="183"/>
      <c r="C1005" s="183"/>
      <c r="D1005" s="183"/>
      <c r="E1005" s="183"/>
      <c r="F1005" s="183"/>
      <c r="G1005" s="183"/>
      <c r="H1005" s="183"/>
      <c r="I1005" s="183"/>
      <c r="J1005" s="183"/>
      <c r="K1005" s="183"/>
      <c r="L1005" s="183"/>
      <c r="M1005" s="183"/>
      <c r="N1005" s="183"/>
      <c r="O1005" s="183"/>
      <c r="P1005" s="183"/>
      <c r="Q1005" s="183"/>
      <c r="R1005" s="183"/>
      <c r="S1005" s="183"/>
      <c r="T1005" s="183"/>
      <c r="U1005" s="183"/>
      <c r="V1005" s="183"/>
      <c r="W1005" s="183"/>
      <c r="X1005" s="183"/>
      <c r="Y1005" s="183"/>
      <c r="Z1005" s="183"/>
      <c r="AA1005" s="183"/>
      <c r="AB1005" s="183"/>
      <c r="AC1005" s="183"/>
      <c r="AD1005" s="183"/>
      <c r="AE1005" s="183"/>
      <c r="AF1005" s="183"/>
      <c r="AG1005" s="183"/>
      <c r="AH1005" s="183"/>
      <c r="AI1005" s="183"/>
      <c r="AJ1005" s="183"/>
      <c r="AK1005" s="183"/>
      <c r="AL1005" s="183"/>
      <c r="AM1005" s="183"/>
      <c r="AN1005" s="183"/>
    </row>
    <row r="1006" spans="1:40" ht="13" customHeight="1">
      <c r="A1006" s="183"/>
      <c r="B1006" s="183"/>
      <c r="C1006" s="183"/>
      <c r="D1006" s="183"/>
      <c r="E1006" s="183"/>
      <c r="F1006" s="183"/>
      <c r="G1006" s="183"/>
      <c r="H1006" s="183"/>
      <c r="I1006" s="183"/>
      <c r="J1006" s="183"/>
      <c r="K1006" s="183"/>
      <c r="L1006" s="183"/>
      <c r="M1006" s="183"/>
      <c r="N1006" s="183"/>
      <c r="O1006" s="183"/>
      <c r="P1006" s="183"/>
      <c r="Q1006" s="183"/>
      <c r="R1006" s="183"/>
      <c r="S1006" s="183"/>
      <c r="T1006" s="183"/>
      <c r="U1006" s="183"/>
      <c r="V1006" s="183"/>
      <c r="W1006" s="183"/>
      <c r="X1006" s="183"/>
      <c r="Y1006" s="183"/>
      <c r="Z1006" s="183"/>
      <c r="AA1006" s="183"/>
      <c r="AB1006" s="183"/>
      <c r="AC1006" s="183"/>
      <c r="AD1006" s="183"/>
      <c r="AE1006" s="183"/>
      <c r="AF1006" s="183"/>
      <c r="AG1006" s="183"/>
      <c r="AH1006" s="183"/>
      <c r="AI1006" s="183"/>
      <c r="AJ1006" s="183"/>
      <c r="AK1006" s="183"/>
      <c r="AL1006" s="183"/>
      <c r="AM1006" s="183"/>
      <c r="AN1006" s="183"/>
    </row>
    <row r="1007" spans="1:40" ht="13" customHeight="1">
      <c r="A1007" s="183"/>
      <c r="B1007" s="183"/>
      <c r="C1007" s="183"/>
      <c r="D1007" s="183"/>
      <c r="E1007" s="183"/>
      <c r="F1007" s="183"/>
      <c r="G1007" s="183"/>
      <c r="H1007" s="183"/>
      <c r="I1007" s="183"/>
      <c r="J1007" s="183"/>
      <c r="K1007" s="183"/>
      <c r="L1007" s="183"/>
      <c r="M1007" s="183"/>
      <c r="N1007" s="183"/>
      <c r="O1007" s="183"/>
      <c r="P1007" s="183"/>
      <c r="Q1007" s="183"/>
      <c r="R1007" s="183"/>
      <c r="S1007" s="183"/>
      <c r="T1007" s="183"/>
      <c r="U1007" s="183"/>
      <c r="V1007" s="183"/>
      <c r="W1007" s="183"/>
      <c r="X1007" s="183"/>
      <c r="Y1007" s="183"/>
      <c r="Z1007" s="183"/>
      <c r="AA1007" s="183"/>
      <c r="AB1007" s="183"/>
      <c r="AC1007" s="183"/>
      <c r="AD1007" s="183"/>
      <c r="AE1007" s="183"/>
      <c r="AF1007" s="183"/>
      <c r="AG1007" s="183"/>
      <c r="AH1007" s="183"/>
      <c r="AI1007" s="183"/>
      <c r="AJ1007" s="183"/>
      <c r="AK1007" s="183"/>
      <c r="AL1007" s="183"/>
      <c r="AM1007" s="183"/>
      <c r="AN1007" s="183"/>
    </row>
    <row r="1008" spans="1:40" ht="13" customHeight="1">
      <c r="A1008" s="183"/>
      <c r="B1008" s="183"/>
      <c r="C1008" s="183"/>
      <c r="D1008" s="183"/>
      <c r="E1008" s="183"/>
      <c r="F1008" s="183"/>
      <c r="G1008" s="183"/>
      <c r="H1008" s="183"/>
      <c r="I1008" s="183"/>
      <c r="J1008" s="183"/>
      <c r="K1008" s="183"/>
      <c r="L1008" s="183"/>
      <c r="M1008" s="183"/>
      <c r="N1008" s="183"/>
      <c r="O1008" s="183"/>
      <c r="P1008" s="183"/>
      <c r="Q1008" s="183"/>
      <c r="R1008" s="183"/>
      <c r="S1008" s="183"/>
      <c r="T1008" s="183"/>
      <c r="U1008" s="183"/>
      <c r="V1008" s="183"/>
      <c r="W1008" s="183"/>
      <c r="X1008" s="183"/>
      <c r="Y1008" s="183"/>
      <c r="Z1008" s="183"/>
      <c r="AA1008" s="183"/>
      <c r="AB1008" s="183"/>
      <c r="AC1008" s="183"/>
      <c r="AD1008" s="183"/>
      <c r="AE1008" s="183"/>
      <c r="AF1008" s="183"/>
      <c r="AG1008" s="183"/>
      <c r="AH1008" s="183"/>
      <c r="AI1008" s="183"/>
      <c r="AJ1008" s="183"/>
      <c r="AK1008" s="183"/>
      <c r="AL1008" s="183"/>
      <c r="AM1008" s="183"/>
      <c r="AN1008" s="183"/>
    </row>
    <row r="1009" spans="1:40" ht="13" customHeight="1">
      <c r="A1009" s="183"/>
      <c r="B1009" s="183"/>
      <c r="C1009" s="183"/>
      <c r="D1009" s="183"/>
      <c r="E1009" s="183"/>
      <c r="F1009" s="183"/>
      <c r="G1009" s="183"/>
      <c r="H1009" s="183"/>
      <c r="I1009" s="183"/>
      <c r="J1009" s="183"/>
      <c r="K1009" s="183"/>
      <c r="L1009" s="183"/>
      <c r="M1009" s="183"/>
      <c r="N1009" s="183"/>
      <c r="O1009" s="183"/>
      <c r="P1009" s="183"/>
      <c r="Q1009" s="183"/>
      <c r="R1009" s="183"/>
      <c r="S1009" s="183"/>
      <c r="T1009" s="183"/>
      <c r="U1009" s="183"/>
      <c r="V1009" s="183"/>
      <c r="W1009" s="183"/>
      <c r="X1009" s="183"/>
      <c r="Y1009" s="183"/>
      <c r="Z1009" s="183"/>
      <c r="AA1009" s="183"/>
      <c r="AB1009" s="183"/>
      <c r="AC1009" s="183"/>
      <c r="AD1009" s="183"/>
      <c r="AE1009" s="183"/>
      <c r="AF1009" s="183"/>
      <c r="AG1009" s="183"/>
      <c r="AH1009" s="183"/>
      <c r="AI1009" s="183"/>
      <c r="AJ1009" s="183"/>
      <c r="AK1009" s="183"/>
      <c r="AL1009" s="183"/>
      <c r="AM1009" s="183"/>
      <c r="AN1009" s="183"/>
    </row>
    <row r="1010" spans="1:40" ht="13" customHeight="1">
      <c r="A1010" s="183"/>
      <c r="B1010" s="183"/>
      <c r="C1010" s="183"/>
      <c r="D1010" s="183"/>
      <c r="E1010" s="183"/>
      <c r="F1010" s="183"/>
      <c r="G1010" s="183"/>
      <c r="H1010" s="183"/>
      <c r="I1010" s="183"/>
      <c r="J1010" s="183"/>
      <c r="K1010" s="183"/>
      <c r="L1010" s="183"/>
      <c r="M1010" s="183"/>
      <c r="N1010" s="183"/>
      <c r="O1010" s="183"/>
      <c r="P1010" s="183"/>
      <c r="Q1010" s="183"/>
      <c r="R1010" s="183"/>
      <c r="S1010" s="183"/>
      <c r="T1010" s="183"/>
      <c r="U1010" s="183"/>
      <c r="V1010" s="183"/>
      <c r="W1010" s="183"/>
      <c r="X1010" s="183"/>
      <c r="Y1010" s="183"/>
      <c r="Z1010" s="183"/>
      <c r="AA1010" s="183"/>
      <c r="AB1010" s="183"/>
      <c r="AC1010" s="183"/>
      <c r="AD1010" s="183"/>
      <c r="AE1010" s="183"/>
      <c r="AF1010" s="183"/>
      <c r="AG1010" s="183"/>
      <c r="AH1010" s="183"/>
      <c r="AI1010" s="183"/>
      <c r="AJ1010" s="183"/>
      <c r="AK1010" s="183"/>
      <c r="AL1010" s="183"/>
      <c r="AM1010" s="183"/>
      <c r="AN1010" s="183"/>
    </row>
    <row r="1011" spans="1:40" ht="13" customHeight="1">
      <c r="A1011" s="183"/>
      <c r="B1011" s="183"/>
      <c r="C1011" s="183"/>
      <c r="D1011" s="183"/>
      <c r="E1011" s="183"/>
      <c r="F1011" s="183"/>
      <c r="G1011" s="183"/>
      <c r="H1011" s="183"/>
      <c r="I1011" s="183"/>
      <c r="J1011" s="183"/>
      <c r="K1011" s="183"/>
      <c r="L1011" s="183"/>
      <c r="M1011" s="183"/>
      <c r="N1011" s="183"/>
      <c r="O1011" s="183"/>
      <c r="P1011" s="183"/>
      <c r="Q1011" s="183"/>
      <c r="R1011" s="183"/>
      <c r="S1011" s="183"/>
      <c r="T1011" s="183"/>
      <c r="U1011" s="183"/>
      <c r="V1011" s="183"/>
      <c r="W1011" s="183"/>
      <c r="X1011" s="183"/>
      <c r="Y1011" s="183"/>
      <c r="Z1011" s="183"/>
      <c r="AA1011" s="183"/>
      <c r="AB1011" s="183"/>
      <c r="AC1011" s="183"/>
      <c r="AD1011" s="183"/>
      <c r="AE1011" s="183"/>
      <c r="AF1011" s="183"/>
      <c r="AG1011" s="183"/>
      <c r="AH1011" s="183"/>
      <c r="AI1011" s="183"/>
      <c r="AJ1011" s="183"/>
      <c r="AK1011" s="183"/>
      <c r="AL1011" s="183"/>
      <c r="AM1011" s="183"/>
      <c r="AN1011" s="183"/>
    </row>
    <row r="1012" spans="1:40" ht="13" customHeight="1">
      <c r="A1012" s="183"/>
      <c r="B1012" s="183"/>
      <c r="C1012" s="183"/>
      <c r="D1012" s="183"/>
      <c r="E1012" s="183"/>
      <c r="F1012" s="183"/>
      <c r="G1012" s="183"/>
      <c r="H1012" s="183"/>
      <c r="I1012" s="183"/>
      <c r="J1012" s="183"/>
      <c r="K1012" s="183"/>
      <c r="L1012" s="183"/>
      <c r="M1012" s="183"/>
      <c r="N1012" s="183"/>
      <c r="O1012" s="183"/>
      <c r="P1012" s="183"/>
      <c r="Q1012" s="183"/>
      <c r="R1012" s="183"/>
      <c r="S1012" s="183"/>
      <c r="T1012" s="183"/>
      <c r="U1012" s="183"/>
      <c r="V1012" s="183"/>
      <c r="W1012" s="183"/>
      <c r="X1012" s="183"/>
      <c r="Y1012" s="183"/>
      <c r="Z1012" s="183"/>
      <c r="AA1012" s="183"/>
      <c r="AB1012" s="183"/>
      <c r="AC1012" s="183"/>
      <c r="AD1012" s="183"/>
      <c r="AE1012" s="183"/>
      <c r="AF1012" s="183"/>
      <c r="AG1012" s="183"/>
      <c r="AH1012" s="183"/>
      <c r="AI1012" s="183"/>
      <c r="AJ1012" s="183"/>
      <c r="AK1012" s="183"/>
      <c r="AL1012" s="183"/>
      <c r="AM1012" s="183"/>
      <c r="AN1012" s="183"/>
    </row>
    <row r="1013" spans="1:40" ht="13" customHeight="1">
      <c r="A1013" s="183"/>
      <c r="B1013" s="183"/>
      <c r="C1013" s="183"/>
      <c r="D1013" s="183"/>
      <c r="E1013" s="183"/>
      <c r="F1013" s="183"/>
      <c r="G1013" s="183"/>
      <c r="H1013" s="183"/>
      <c r="I1013" s="183"/>
      <c r="J1013" s="183"/>
      <c r="K1013" s="183"/>
      <c r="L1013" s="183"/>
      <c r="M1013" s="183"/>
      <c r="N1013" s="183"/>
      <c r="O1013" s="183"/>
      <c r="P1013" s="183"/>
      <c r="Q1013" s="183"/>
      <c r="R1013" s="183"/>
      <c r="S1013" s="183"/>
      <c r="T1013" s="183"/>
      <c r="U1013" s="183"/>
      <c r="V1013" s="183"/>
      <c r="W1013" s="183"/>
      <c r="X1013" s="183"/>
      <c r="Y1013" s="183"/>
      <c r="Z1013" s="183"/>
      <c r="AA1013" s="183"/>
      <c r="AB1013" s="183"/>
      <c r="AC1013" s="183"/>
      <c r="AD1013" s="183"/>
      <c r="AE1013" s="183"/>
      <c r="AF1013" s="183"/>
      <c r="AG1013" s="183"/>
      <c r="AH1013" s="183"/>
      <c r="AI1013" s="183"/>
      <c r="AJ1013" s="183"/>
      <c r="AK1013" s="183"/>
      <c r="AL1013" s="183"/>
      <c r="AM1013" s="183"/>
      <c r="AN1013" s="183"/>
    </row>
    <row r="1014" spans="1:40" ht="13" customHeight="1">
      <c r="A1014" s="183"/>
      <c r="B1014" s="183"/>
      <c r="C1014" s="183"/>
      <c r="D1014" s="183"/>
      <c r="E1014" s="183"/>
      <c r="F1014" s="183"/>
      <c r="G1014" s="183"/>
      <c r="H1014" s="183"/>
      <c r="I1014" s="183"/>
      <c r="J1014" s="183"/>
      <c r="K1014" s="183"/>
      <c r="L1014" s="183"/>
      <c r="M1014" s="183"/>
      <c r="N1014" s="183"/>
      <c r="O1014" s="183"/>
      <c r="P1014" s="183"/>
      <c r="Q1014" s="183"/>
      <c r="R1014" s="183"/>
      <c r="S1014" s="183"/>
      <c r="T1014" s="183"/>
      <c r="U1014" s="183"/>
      <c r="V1014" s="183"/>
      <c r="W1014" s="183"/>
      <c r="X1014" s="183"/>
      <c r="Y1014" s="183"/>
      <c r="Z1014" s="183"/>
      <c r="AA1014" s="183"/>
      <c r="AB1014" s="183"/>
      <c r="AC1014" s="183"/>
      <c r="AD1014" s="183"/>
      <c r="AE1014" s="183"/>
      <c r="AF1014" s="183"/>
      <c r="AG1014" s="183"/>
      <c r="AH1014" s="183"/>
      <c r="AI1014" s="183"/>
      <c r="AJ1014" s="183"/>
      <c r="AK1014" s="183"/>
      <c r="AL1014" s="183"/>
      <c r="AM1014" s="183"/>
      <c r="AN1014" s="183"/>
    </row>
    <row r="1015" spans="1:40" ht="13" customHeight="1">
      <c r="A1015" s="183"/>
      <c r="B1015" s="183"/>
      <c r="C1015" s="183"/>
      <c r="D1015" s="183"/>
      <c r="E1015" s="183"/>
      <c r="F1015" s="183"/>
      <c r="G1015" s="183"/>
      <c r="H1015" s="183"/>
      <c r="I1015" s="183"/>
      <c r="J1015" s="183"/>
      <c r="K1015" s="183"/>
      <c r="L1015" s="183"/>
      <c r="M1015" s="183"/>
      <c r="N1015" s="183"/>
      <c r="O1015" s="183"/>
      <c r="P1015" s="183"/>
      <c r="Q1015" s="183"/>
      <c r="R1015" s="183"/>
      <c r="S1015" s="183"/>
      <c r="T1015" s="183"/>
      <c r="U1015" s="183"/>
      <c r="V1015" s="183"/>
      <c r="W1015" s="183"/>
      <c r="X1015" s="183"/>
      <c r="Y1015" s="183"/>
      <c r="Z1015" s="183"/>
      <c r="AA1015" s="183"/>
      <c r="AB1015" s="183"/>
      <c r="AC1015" s="183"/>
      <c r="AD1015" s="183"/>
      <c r="AE1015" s="183"/>
      <c r="AF1015" s="183"/>
      <c r="AG1015" s="183"/>
      <c r="AH1015" s="183"/>
      <c r="AI1015" s="183"/>
      <c r="AJ1015" s="183"/>
      <c r="AK1015" s="183"/>
      <c r="AL1015" s="183"/>
      <c r="AM1015" s="183"/>
      <c r="AN1015" s="183"/>
    </row>
    <row r="1016" spans="1:40" ht="13" customHeight="1">
      <c r="A1016" s="183"/>
      <c r="B1016" s="183"/>
      <c r="C1016" s="183"/>
      <c r="D1016" s="183"/>
      <c r="E1016" s="183"/>
      <c r="F1016" s="183"/>
      <c r="G1016" s="183"/>
      <c r="H1016" s="183"/>
      <c r="I1016" s="183"/>
      <c r="J1016" s="183"/>
      <c r="K1016" s="183"/>
      <c r="L1016" s="183"/>
      <c r="M1016" s="183"/>
      <c r="N1016" s="183"/>
      <c r="O1016" s="183"/>
      <c r="P1016" s="183"/>
      <c r="Q1016" s="183"/>
      <c r="R1016" s="183"/>
      <c r="S1016" s="183"/>
      <c r="T1016" s="183"/>
      <c r="U1016" s="183"/>
      <c r="V1016" s="183"/>
      <c r="W1016" s="183"/>
      <c r="X1016" s="183"/>
      <c r="Y1016" s="183"/>
      <c r="Z1016" s="183"/>
      <c r="AA1016" s="183"/>
      <c r="AB1016" s="183"/>
      <c r="AC1016" s="183"/>
      <c r="AD1016" s="183"/>
      <c r="AE1016" s="183"/>
      <c r="AF1016" s="183"/>
      <c r="AG1016" s="183"/>
      <c r="AH1016" s="183"/>
      <c r="AI1016" s="183"/>
      <c r="AJ1016" s="183"/>
      <c r="AK1016" s="183"/>
      <c r="AL1016" s="183"/>
      <c r="AM1016" s="183"/>
      <c r="AN1016" s="183"/>
    </row>
    <row r="1017" spans="1:40" ht="13" customHeight="1">
      <c r="A1017" s="183"/>
      <c r="B1017" s="183"/>
      <c r="C1017" s="183"/>
      <c r="D1017" s="183"/>
      <c r="E1017" s="183"/>
      <c r="F1017" s="183"/>
      <c r="G1017" s="183"/>
      <c r="H1017" s="183"/>
      <c r="I1017" s="183"/>
      <c r="J1017" s="183"/>
      <c r="K1017" s="183"/>
      <c r="L1017" s="183"/>
      <c r="M1017" s="183"/>
      <c r="N1017" s="183"/>
      <c r="O1017" s="183"/>
      <c r="P1017" s="183"/>
      <c r="Q1017" s="183"/>
      <c r="R1017" s="183"/>
      <c r="S1017" s="183"/>
      <c r="T1017" s="183"/>
      <c r="U1017" s="183"/>
      <c r="V1017" s="183"/>
      <c r="W1017" s="183"/>
      <c r="X1017" s="183"/>
      <c r="Y1017" s="183"/>
      <c r="Z1017" s="183"/>
      <c r="AA1017" s="183"/>
      <c r="AB1017" s="183"/>
      <c r="AC1017" s="183"/>
      <c r="AD1017" s="183"/>
      <c r="AE1017" s="183"/>
      <c r="AF1017" s="183"/>
      <c r="AG1017" s="183"/>
      <c r="AH1017" s="183"/>
      <c r="AI1017" s="183"/>
      <c r="AJ1017" s="183"/>
      <c r="AK1017" s="183"/>
      <c r="AL1017" s="183"/>
      <c r="AM1017" s="183"/>
      <c r="AN1017" s="183"/>
    </row>
    <row r="1018" spans="1:40" ht="13" customHeight="1">
      <c r="A1018" s="183"/>
      <c r="B1018" s="183"/>
      <c r="C1018" s="183"/>
      <c r="D1018" s="183"/>
      <c r="E1018" s="183"/>
      <c r="F1018" s="183"/>
      <c r="G1018" s="183"/>
      <c r="H1018" s="183"/>
      <c r="I1018" s="183"/>
      <c r="J1018" s="183"/>
      <c r="K1018" s="183"/>
      <c r="L1018" s="183"/>
      <c r="M1018" s="183"/>
      <c r="N1018" s="183"/>
      <c r="O1018" s="183"/>
      <c r="P1018" s="183"/>
      <c r="Q1018" s="183"/>
      <c r="R1018" s="183"/>
      <c r="S1018" s="183"/>
      <c r="T1018" s="183"/>
      <c r="U1018" s="183"/>
      <c r="V1018" s="183"/>
      <c r="W1018" s="183"/>
      <c r="X1018" s="183"/>
      <c r="Y1018" s="183"/>
      <c r="Z1018" s="183"/>
      <c r="AA1018" s="183"/>
      <c r="AB1018" s="183"/>
      <c r="AC1018" s="183"/>
      <c r="AD1018" s="183"/>
      <c r="AE1018" s="183"/>
      <c r="AF1018" s="183"/>
      <c r="AG1018" s="183"/>
      <c r="AH1018" s="183"/>
      <c r="AI1018" s="183"/>
      <c r="AJ1018" s="183"/>
      <c r="AK1018" s="183"/>
      <c r="AL1018" s="183"/>
      <c r="AM1018" s="183"/>
      <c r="AN1018" s="183"/>
    </row>
    <row r="1019" spans="1:40" ht="13" customHeight="1">
      <c r="A1019" s="183"/>
      <c r="B1019" s="183"/>
      <c r="C1019" s="183"/>
      <c r="D1019" s="183"/>
      <c r="E1019" s="183"/>
      <c r="F1019" s="183"/>
      <c r="G1019" s="183"/>
      <c r="H1019" s="183"/>
      <c r="I1019" s="183"/>
      <c r="J1019" s="183"/>
      <c r="K1019" s="183"/>
      <c r="L1019" s="183"/>
      <c r="M1019" s="183"/>
      <c r="N1019" s="183"/>
      <c r="O1019" s="183"/>
      <c r="P1019" s="183"/>
      <c r="Q1019" s="183"/>
      <c r="R1019" s="183"/>
      <c r="S1019" s="183"/>
      <c r="T1019" s="183"/>
      <c r="U1019" s="183"/>
      <c r="V1019" s="183"/>
      <c r="W1019" s="183"/>
      <c r="X1019" s="183"/>
      <c r="Y1019" s="183"/>
      <c r="Z1019" s="183"/>
      <c r="AA1019" s="183"/>
      <c r="AB1019" s="183"/>
      <c r="AC1019" s="183"/>
      <c r="AD1019" s="183"/>
      <c r="AE1019" s="183"/>
      <c r="AF1019" s="183"/>
      <c r="AG1019" s="183"/>
      <c r="AH1019" s="183"/>
      <c r="AI1019" s="183"/>
      <c r="AJ1019" s="183"/>
      <c r="AK1019" s="183"/>
      <c r="AL1019" s="183"/>
      <c r="AM1019" s="183"/>
      <c r="AN1019" s="183"/>
    </row>
    <row r="1020" spans="1:40" ht="13" customHeight="1">
      <c r="A1020" s="183"/>
      <c r="B1020" s="183"/>
      <c r="C1020" s="183"/>
      <c r="D1020" s="183"/>
      <c r="E1020" s="183"/>
      <c r="F1020" s="183"/>
      <c r="G1020" s="183"/>
      <c r="H1020" s="183"/>
      <c r="I1020" s="183"/>
      <c r="J1020" s="183"/>
      <c r="K1020" s="183"/>
      <c r="L1020" s="183"/>
      <c r="M1020" s="183"/>
      <c r="N1020" s="183"/>
      <c r="O1020" s="183"/>
      <c r="P1020" s="183"/>
      <c r="Q1020" s="183"/>
      <c r="R1020" s="183"/>
      <c r="S1020" s="183"/>
      <c r="T1020" s="183"/>
      <c r="U1020" s="183"/>
      <c r="V1020" s="183"/>
      <c r="W1020" s="183"/>
      <c r="X1020" s="183"/>
      <c r="Y1020" s="183"/>
      <c r="Z1020" s="183"/>
      <c r="AA1020" s="183"/>
      <c r="AB1020" s="183"/>
      <c r="AC1020" s="183"/>
      <c r="AD1020" s="183"/>
      <c r="AE1020" s="183"/>
      <c r="AF1020" s="183"/>
      <c r="AG1020" s="183"/>
      <c r="AH1020" s="183"/>
      <c r="AI1020" s="183"/>
      <c r="AJ1020" s="183"/>
      <c r="AK1020" s="183"/>
      <c r="AL1020" s="183"/>
      <c r="AM1020" s="183"/>
      <c r="AN1020" s="183"/>
    </row>
    <row r="1021" spans="1:40" ht="13" customHeight="1">
      <c r="A1021" s="183"/>
      <c r="B1021" s="183"/>
      <c r="C1021" s="183"/>
      <c r="D1021" s="183"/>
      <c r="E1021" s="183"/>
      <c r="F1021" s="183"/>
      <c r="G1021" s="183"/>
      <c r="H1021" s="183"/>
      <c r="I1021" s="183"/>
      <c r="J1021" s="183"/>
      <c r="K1021" s="183"/>
      <c r="L1021" s="183"/>
      <c r="M1021" s="183"/>
      <c r="N1021" s="183"/>
      <c r="O1021" s="183"/>
      <c r="P1021" s="183"/>
      <c r="Q1021" s="183"/>
      <c r="R1021" s="183"/>
      <c r="S1021" s="183"/>
      <c r="T1021" s="183"/>
      <c r="U1021" s="183"/>
      <c r="V1021" s="183"/>
      <c r="W1021" s="183"/>
      <c r="X1021" s="183"/>
      <c r="Y1021" s="183"/>
      <c r="Z1021" s="183"/>
      <c r="AA1021" s="183"/>
      <c r="AB1021" s="183"/>
      <c r="AC1021" s="183"/>
      <c r="AD1021" s="183"/>
      <c r="AE1021" s="183"/>
      <c r="AF1021" s="183"/>
      <c r="AG1021" s="183"/>
      <c r="AH1021" s="183"/>
      <c r="AI1021" s="183"/>
      <c r="AJ1021" s="183"/>
      <c r="AK1021" s="183"/>
      <c r="AL1021" s="183"/>
      <c r="AM1021" s="183"/>
      <c r="AN1021" s="183"/>
    </row>
    <row r="1022" spans="1:40" ht="13" customHeight="1">
      <c r="A1022" s="183"/>
      <c r="B1022" s="183"/>
      <c r="C1022" s="183"/>
      <c r="D1022" s="183"/>
      <c r="E1022" s="183"/>
      <c r="F1022" s="183"/>
      <c r="G1022" s="183"/>
      <c r="H1022" s="183"/>
      <c r="I1022" s="183"/>
      <c r="J1022" s="183"/>
      <c r="K1022" s="183"/>
      <c r="L1022" s="183"/>
      <c r="M1022" s="183"/>
      <c r="N1022" s="183"/>
      <c r="O1022" s="183"/>
      <c r="P1022" s="183"/>
      <c r="Q1022" s="183"/>
      <c r="R1022" s="183"/>
      <c r="S1022" s="183"/>
      <c r="T1022" s="183"/>
      <c r="U1022" s="183"/>
      <c r="V1022" s="183"/>
      <c r="W1022" s="183"/>
      <c r="X1022" s="183"/>
      <c r="Y1022" s="183"/>
      <c r="Z1022" s="183"/>
      <c r="AA1022" s="183"/>
      <c r="AB1022" s="183"/>
      <c r="AC1022" s="183"/>
      <c r="AD1022" s="183"/>
      <c r="AE1022" s="183"/>
      <c r="AF1022" s="183"/>
      <c r="AG1022" s="183"/>
      <c r="AH1022" s="183"/>
      <c r="AI1022" s="183"/>
      <c r="AJ1022" s="183"/>
      <c r="AK1022" s="183"/>
      <c r="AL1022" s="183"/>
      <c r="AM1022" s="183"/>
      <c r="AN1022" s="183"/>
    </row>
    <row r="1023" spans="1:40" ht="13" customHeight="1">
      <c r="A1023" s="183"/>
      <c r="B1023" s="183"/>
      <c r="C1023" s="183"/>
      <c r="D1023" s="183"/>
      <c r="E1023" s="183"/>
      <c r="F1023" s="183"/>
      <c r="G1023" s="183"/>
      <c r="H1023" s="183"/>
      <c r="I1023" s="183"/>
      <c r="J1023" s="183"/>
      <c r="K1023" s="183"/>
      <c r="L1023" s="183"/>
      <c r="M1023" s="183"/>
      <c r="N1023" s="183"/>
      <c r="O1023" s="183"/>
      <c r="P1023" s="183"/>
      <c r="Q1023" s="183"/>
      <c r="R1023" s="183"/>
      <c r="S1023" s="183"/>
      <c r="T1023" s="183"/>
      <c r="U1023" s="183"/>
      <c r="V1023" s="183"/>
      <c r="W1023" s="183"/>
      <c r="X1023" s="183"/>
      <c r="Y1023" s="183"/>
      <c r="Z1023" s="183"/>
      <c r="AA1023" s="183"/>
      <c r="AB1023" s="183"/>
      <c r="AC1023" s="183"/>
      <c r="AD1023" s="183"/>
      <c r="AE1023" s="183"/>
      <c r="AF1023" s="183"/>
      <c r="AG1023" s="183"/>
      <c r="AH1023" s="183"/>
      <c r="AI1023" s="183"/>
      <c r="AJ1023" s="183"/>
      <c r="AK1023" s="183"/>
      <c r="AL1023" s="183"/>
      <c r="AM1023" s="183"/>
      <c r="AN1023" s="183"/>
    </row>
    <row r="1024" spans="1:40" ht="13" customHeight="1">
      <c r="A1024" s="183"/>
      <c r="B1024" s="183"/>
      <c r="C1024" s="183"/>
      <c r="D1024" s="183"/>
      <c r="E1024" s="183"/>
      <c r="F1024" s="183"/>
      <c r="G1024" s="183"/>
      <c r="H1024" s="183"/>
      <c r="I1024" s="183"/>
      <c r="J1024" s="183"/>
      <c r="K1024" s="183"/>
      <c r="L1024" s="183"/>
      <c r="M1024" s="183"/>
      <c r="N1024" s="183"/>
      <c r="O1024" s="183"/>
      <c r="P1024" s="183"/>
      <c r="Q1024" s="183"/>
      <c r="R1024" s="183"/>
      <c r="S1024" s="183"/>
      <c r="T1024" s="183"/>
      <c r="U1024" s="183"/>
      <c r="V1024" s="183"/>
      <c r="W1024" s="183"/>
      <c r="X1024" s="183"/>
      <c r="Y1024" s="183"/>
      <c r="Z1024" s="183"/>
      <c r="AA1024" s="183"/>
      <c r="AB1024" s="183"/>
      <c r="AC1024" s="183"/>
      <c r="AD1024" s="183"/>
      <c r="AE1024" s="183"/>
      <c r="AF1024" s="183"/>
      <c r="AG1024" s="183"/>
      <c r="AH1024" s="183"/>
      <c r="AI1024" s="183"/>
      <c r="AJ1024" s="183"/>
      <c r="AK1024" s="183"/>
      <c r="AL1024" s="183"/>
      <c r="AM1024" s="183"/>
      <c r="AN1024" s="183"/>
    </row>
    <row r="1025" spans="1:40" ht="13" customHeight="1">
      <c r="A1025" s="183"/>
      <c r="B1025" s="183"/>
      <c r="C1025" s="183"/>
      <c r="D1025" s="183"/>
      <c r="E1025" s="183"/>
      <c r="F1025" s="183"/>
      <c r="G1025" s="183"/>
      <c r="H1025" s="183"/>
      <c r="I1025" s="183"/>
      <c r="J1025" s="183"/>
      <c r="K1025" s="183"/>
      <c r="L1025" s="183"/>
      <c r="M1025" s="183"/>
      <c r="N1025" s="183"/>
      <c r="O1025" s="183"/>
      <c r="P1025" s="183"/>
      <c r="Q1025" s="183"/>
      <c r="R1025" s="183"/>
      <c r="S1025" s="183"/>
      <c r="T1025" s="183"/>
      <c r="U1025" s="183"/>
      <c r="V1025" s="183"/>
      <c r="W1025" s="183"/>
      <c r="X1025" s="183"/>
      <c r="Y1025" s="183"/>
      <c r="Z1025" s="183"/>
      <c r="AA1025" s="183"/>
      <c r="AB1025" s="183"/>
      <c r="AC1025" s="183"/>
      <c r="AD1025" s="183"/>
      <c r="AE1025" s="183"/>
      <c r="AF1025" s="183"/>
      <c r="AG1025" s="183"/>
      <c r="AH1025" s="183"/>
      <c r="AI1025" s="183"/>
      <c r="AJ1025" s="183"/>
      <c r="AK1025" s="183"/>
      <c r="AL1025" s="183"/>
      <c r="AM1025" s="183"/>
      <c r="AN1025" s="183"/>
    </row>
    <row r="1026" spans="1:40" ht="13" customHeight="1">
      <c r="A1026" s="183"/>
      <c r="B1026" s="183"/>
      <c r="C1026" s="183"/>
      <c r="D1026" s="183"/>
      <c r="E1026" s="183"/>
      <c r="F1026" s="183"/>
      <c r="G1026" s="183"/>
      <c r="H1026" s="183"/>
      <c r="I1026" s="183"/>
      <c r="J1026" s="183"/>
      <c r="K1026" s="183"/>
      <c r="L1026" s="183"/>
      <c r="M1026" s="183"/>
      <c r="N1026" s="183"/>
      <c r="O1026" s="183"/>
      <c r="P1026" s="183"/>
      <c r="Q1026" s="183"/>
      <c r="R1026" s="183"/>
      <c r="S1026" s="183"/>
      <c r="T1026" s="183"/>
      <c r="U1026" s="183"/>
      <c r="V1026" s="183"/>
      <c r="W1026" s="183"/>
      <c r="X1026" s="183"/>
      <c r="Y1026" s="183"/>
      <c r="Z1026" s="183"/>
      <c r="AA1026" s="183"/>
      <c r="AB1026" s="183"/>
      <c r="AC1026" s="183"/>
      <c r="AD1026" s="183"/>
      <c r="AE1026" s="183"/>
      <c r="AF1026" s="183"/>
      <c r="AG1026" s="183"/>
      <c r="AH1026" s="183"/>
      <c r="AI1026" s="183"/>
      <c r="AJ1026" s="183"/>
      <c r="AK1026" s="183"/>
      <c r="AL1026" s="183"/>
      <c r="AM1026" s="183"/>
      <c r="AN1026" s="183"/>
    </row>
    <row r="1027" spans="1:40" ht="13" customHeight="1">
      <c r="A1027" s="183"/>
      <c r="B1027" s="183"/>
      <c r="C1027" s="183"/>
      <c r="D1027" s="183"/>
      <c r="E1027" s="183"/>
      <c r="F1027" s="183"/>
      <c r="G1027" s="183"/>
      <c r="H1027" s="183"/>
      <c r="I1027" s="183"/>
      <c r="J1027" s="183"/>
      <c r="K1027" s="183"/>
      <c r="L1027" s="183"/>
      <c r="M1027" s="183"/>
      <c r="N1027" s="183"/>
      <c r="O1027" s="183"/>
      <c r="P1027" s="183"/>
      <c r="Q1027" s="183"/>
      <c r="R1027" s="183"/>
      <c r="S1027" s="183"/>
      <c r="T1027" s="183"/>
      <c r="U1027" s="183"/>
      <c r="V1027" s="183"/>
      <c r="W1027" s="183"/>
      <c r="X1027" s="183"/>
      <c r="Y1027" s="183"/>
      <c r="Z1027" s="183"/>
      <c r="AA1027" s="183"/>
      <c r="AB1027" s="183"/>
      <c r="AC1027" s="183"/>
      <c r="AD1027" s="183"/>
      <c r="AE1027" s="183"/>
      <c r="AF1027" s="183"/>
      <c r="AG1027" s="183"/>
      <c r="AH1027" s="183"/>
      <c r="AI1027" s="183"/>
      <c r="AJ1027" s="183"/>
      <c r="AK1027" s="183"/>
      <c r="AL1027" s="183"/>
      <c r="AM1027" s="183"/>
      <c r="AN1027" s="183"/>
    </row>
    <row r="1028" spans="1:40" ht="13" customHeight="1">
      <c r="A1028" s="183"/>
      <c r="B1028" s="183"/>
      <c r="C1028" s="183"/>
      <c r="D1028" s="183"/>
      <c r="E1028" s="183"/>
      <c r="F1028" s="183"/>
      <c r="G1028" s="183"/>
      <c r="H1028" s="183"/>
      <c r="I1028" s="183"/>
      <c r="J1028" s="183"/>
      <c r="K1028" s="183"/>
      <c r="L1028" s="183"/>
      <c r="M1028" s="183"/>
      <c r="N1028" s="183"/>
      <c r="O1028" s="183"/>
      <c r="P1028" s="183"/>
      <c r="Q1028" s="183"/>
      <c r="R1028" s="183"/>
      <c r="S1028" s="183"/>
      <c r="T1028" s="183"/>
      <c r="U1028" s="183"/>
      <c r="V1028" s="183"/>
      <c r="W1028" s="183"/>
      <c r="X1028" s="183"/>
      <c r="Y1028" s="183"/>
      <c r="Z1028" s="183"/>
      <c r="AA1028" s="183"/>
      <c r="AB1028" s="183"/>
      <c r="AC1028" s="183"/>
      <c r="AD1028" s="183"/>
      <c r="AE1028" s="183"/>
      <c r="AF1028" s="183"/>
      <c r="AG1028" s="183"/>
      <c r="AH1028" s="183"/>
      <c r="AI1028" s="183"/>
      <c r="AJ1028" s="183"/>
      <c r="AK1028" s="183"/>
      <c r="AL1028" s="183"/>
      <c r="AM1028" s="183"/>
      <c r="AN1028" s="183"/>
    </row>
    <row r="1029" spans="1:40" ht="13" customHeight="1">
      <c r="A1029" s="183"/>
      <c r="B1029" s="183"/>
      <c r="C1029" s="183"/>
      <c r="D1029" s="183"/>
      <c r="E1029" s="183"/>
      <c r="F1029" s="183"/>
      <c r="G1029" s="183"/>
      <c r="H1029" s="183"/>
      <c r="I1029" s="183"/>
      <c r="J1029" s="183"/>
      <c r="K1029" s="183"/>
      <c r="L1029" s="183"/>
      <c r="M1029" s="183"/>
      <c r="N1029" s="183"/>
      <c r="O1029" s="183"/>
      <c r="P1029" s="183"/>
      <c r="Q1029" s="183"/>
      <c r="R1029" s="183"/>
      <c r="S1029" s="183"/>
      <c r="T1029" s="183"/>
      <c r="U1029" s="183"/>
      <c r="V1029" s="183"/>
      <c r="W1029" s="183"/>
      <c r="X1029" s="183"/>
      <c r="Y1029" s="183"/>
      <c r="Z1029" s="183"/>
      <c r="AA1029" s="183"/>
      <c r="AB1029" s="183"/>
      <c r="AC1029" s="183"/>
      <c r="AD1029" s="183"/>
      <c r="AE1029" s="183"/>
      <c r="AF1029" s="183"/>
      <c r="AG1029" s="183"/>
      <c r="AH1029" s="183"/>
      <c r="AI1029" s="183"/>
      <c r="AJ1029" s="183"/>
      <c r="AK1029" s="183"/>
      <c r="AL1029" s="183"/>
      <c r="AM1029" s="183"/>
      <c r="AN1029" s="183"/>
    </row>
    <row r="1030" spans="1:40" ht="13" customHeight="1">
      <c r="A1030" s="183"/>
      <c r="B1030" s="183"/>
      <c r="C1030" s="183"/>
      <c r="D1030" s="183"/>
      <c r="E1030" s="183"/>
      <c r="F1030" s="183"/>
      <c r="G1030" s="183"/>
      <c r="H1030" s="183"/>
      <c r="I1030" s="183"/>
      <c r="J1030" s="183"/>
      <c r="K1030" s="183"/>
      <c r="L1030" s="183"/>
      <c r="M1030" s="183"/>
      <c r="N1030" s="183"/>
      <c r="O1030" s="183"/>
      <c r="P1030" s="183"/>
      <c r="Q1030" s="183"/>
      <c r="R1030" s="183"/>
      <c r="S1030" s="183"/>
      <c r="T1030" s="183"/>
      <c r="U1030" s="183"/>
      <c r="V1030" s="183"/>
      <c r="W1030" s="183"/>
      <c r="X1030" s="183"/>
      <c r="Y1030" s="183"/>
      <c r="Z1030" s="183"/>
      <c r="AA1030" s="183"/>
      <c r="AB1030" s="183"/>
      <c r="AC1030" s="183"/>
      <c r="AD1030" s="183"/>
      <c r="AE1030" s="183"/>
      <c r="AF1030" s="183"/>
      <c r="AG1030" s="183"/>
      <c r="AH1030" s="183"/>
      <c r="AI1030" s="183"/>
      <c r="AJ1030" s="183"/>
      <c r="AK1030" s="183"/>
      <c r="AL1030" s="183"/>
      <c r="AM1030" s="183"/>
      <c r="AN1030" s="183"/>
    </row>
    <row r="1031" spans="1:40" ht="13" customHeight="1">
      <c r="A1031" s="183"/>
      <c r="B1031" s="183"/>
      <c r="C1031" s="183"/>
      <c r="D1031" s="183"/>
      <c r="E1031" s="183"/>
      <c r="F1031" s="183"/>
      <c r="G1031" s="183"/>
      <c r="H1031" s="183"/>
      <c r="I1031" s="183"/>
      <c r="J1031" s="183"/>
      <c r="K1031" s="183"/>
      <c r="L1031" s="183"/>
      <c r="M1031" s="183"/>
      <c r="N1031" s="183"/>
      <c r="O1031" s="183"/>
      <c r="P1031" s="183"/>
      <c r="Q1031" s="183"/>
      <c r="R1031" s="183"/>
      <c r="S1031" s="183"/>
      <c r="T1031" s="183"/>
      <c r="U1031" s="183"/>
      <c r="V1031" s="183"/>
      <c r="W1031" s="183"/>
      <c r="X1031" s="183"/>
      <c r="Y1031" s="183"/>
      <c r="Z1031" s="183"/>
      <c r="AA1031" s="183"/>
      <c r="AB1031" s="183"/>
      <c r="AC1031" s="183"/>
      <c r="AD1031" s="183"/>
      <c r="AE1031" s="183"/>
      <c r="AF1031" s="183"/>
      <c r="AG1031" s="183"/>
      <c r="AH1031" s="183"/>
      <c r="AI1031" s="183"/>
      <c r="AJ1031" s="183"/>
      <c r="AK1031" s="183"/>
      <c r="AL1031" s="183"/>
      <c r="AM1031" s="183"/>
      <c r="AN1031" s="183"/>
    </row>
    <row r="1032" spans="1:40" ht="13" customHeight="1">
      <c r="A1032" s="183"/>
      <c r="B1032" s="183"/>
      <c r="C1032" s="183"/>
      <c r="D1032" s="183"/>
      <c r="E1032" s="183"/>
      <c r="F1032" s="183"/>
      <c r="G1032" s="183"/>
      <c r="H1032" s="183"/>
      <c r="I1032" s="183"/>
      <c r="J1032" s="183"/>
      <c r="K1032" s="183"/>
      <c r="L1032" s="183"/>
      <c r="M1032" s="183"/>
      <c r="N1032" s="183"/>
      <c r="O1032" s="183"/>
      <c r="P1032" s="183"/>
      <c r="Q1032" s="183"/>
      <c r="R1032" s="183"/>
      <c r="S1032" s="183"/>
      <c r="T1032" s="183"/>
      <c r="U1032" s="183"/>
      <c r="V1032" s="183"/>
      <c r="W1032" s="183"/>
      <c r="X1032" s="183"/>
      <c r="Y1032" s="183"/>
      <c r="Z1032" s="183"/>
      <c r="AA1032" s="183"/>
      <c r="AB1032" s="183"/>
      <c r="AC1032" s="183"/>
      <c r="AD1032" s="183"/>
      <c r="AE1032" s="183"/>
      <c r="AF1032" s="183"/>
      <c r="AG1032" s="183"/>
      <c r="AH1032" s="183"/>
      <c r="AI1032" s="183"/>
      <c r="AJ1032" s="183"/>
      <c r="AK1032" s="183"/>
      <c r="AL1032" s="183"/>
      <c r="AM1032" s="183"/>
      <c r="AN1032" s="183"/>
    </row>
    <row r="1033" spans="1:40" ht="13" customHeight="1">
      <c r="A1033" s="183"/>
      <c r="B1033" s="183"/>
      <c r="C1033" s="183"/>
      <c r="D1033" s="183"/>
      <c r="E1033" s="183"/>
      <c r="F1033" s="183"/>
      <c r="G1033" s="183"/>
      <c r="H1033" s="183"/>
      <c r="I1033" s="183"/>
      <c r="J1033" s="183"/>
      <c r="K1033" s="183"/>
      <c r="L1033" s="183"/>
      <c r="M1033" s="183"/>
      <c r="N1033" s="183"/>
      <c r="O1033" s="183"/>
      <c r="P1033" s="183"/>
      <c r="Q1033" s="183"/>
      <c r="R1033" s="183"/>
      <c r="S1033" s="183"/>
      <c r="T1033" s="183"/>
      <c r="U1033" s="183"/>
      <c r="V1033" s="183"/>
      <c r="W1033" s="183"/>
      <c r="X1033" s="183"/>
      <c r="Y1033" s="183"/>
      <c r="Z1033" s="183"/>
      <c r="AA1033" s="183"/>
      <c r="AB1033" s="183"/>
      <c r="AC1033" s="183"/>
      <c r="AD1033" s="183"/>
      <c r="AE1033" s="183"/>
      <c r="AF1033" s="183"/>
      <c r="AG1033" s="183"/>
      <c r="AH1033" s="183"/>
      <c r="AI1033" s="183"/>
      <c r="AJ1033" s="183"/>
      <c r="AK1033" s="183"/>
      <c r="AL1033" s="183"/>
      <c r="AM1033" s="183"/>
      <c r="AN1033" s="183"/>
    </row>
    <row r="1034" spans="1:40" ht="13" customHeight="1">
      <c r="A1034" s="183"/>
      <c r="B1034" s="183"/>
      <c r="C1034" s="183"/>
      <c r="D1034" s="183"/>
      <c r="E1034" s="183"/>
      <c r="F1034" s="183"/>
      <c r="G1034" s="183"/>
      <c r="H1034" s="183"/>
      <c r="I1034" s="183"/>
      <c r="J1034" s="183"/>
      <c r="K1034" s="183"/>
      <c r="L1034" s="183"/>
      <c r="M1034" s="183"/>
      <c r="N1034" s="183"/>
      <c r="O1034" s="183"/>
      <c r="P1034" s="183"/>
      <c r="Q1034" s="183"/>
      <c r="R1034" s="183"/>
      <c r="S1034" s="183"/>
      <c r="T1034" s="183"/>
      <c r="U1034" s="183"/>
      <c r="V1034" s="183"/>
      <c r="W1034" s="183"/>
      <c r="X1034" s="183"/>
      <c r="Y1034" s="183"/>
      <c r="Z1034" s="183"/>
      <c r="AA1034" s="183"/>
      <c r="AB1034" s="183"/>
      <c r="AC1034" s="183"/>
      <c r="AD1034" s="183"/>
      <c r="AE1034" s="183"/>
      <c r="AF1034" s="183"/>
      <c r="AG1034" s="183"/>
      <c r="AH1034" s="183"/>
      <c r="AI1034" s="183"/>
      <c r="AJ1034" s="183"/>
      <c r="AK1034" s="183"/>
      <c r="AL1034" s="183"/>
      <c r="AM1034" s="183"/>
      <c r="AN1034" s="183"/>
    </row>
    <row r="1035" spans="1:40" ht="13" customHeight="1">
      <c r="A1035" s="183"/>
      <c r="B1035" s="183"/>
      <c r="C1035" s="183"/>
      <c r="D1035" s="183"/>
      <c r="E1035" s="183"/>
      <c r="F1035" s="183"/>
      <c r="G1035" s="183"/>
      <c r="H1035" s="183"/>
      <c r="I1035" s="183"/>
      <c r="J1035" s="183"/>
      <c r="K1035" s="183"/>
      <c r="L1035" s="183"/>
      <c r="M1035" s="183"/>
      <c r="N1035" s="183"/>
      <c r="O1035" s="183"/>
      <c r="P1035" s="183"/>
      <c r="Q1035" s="183"/>
      <c r="R1035" s="183"/>
      <c r="S1035" s="183"/>
      <c r="T1035" s="183"/>
      <c r="U1035" s="183"/>
      <c r="V1035" s="183"/>
      <c r="W1035" s="183"/>
      <c r="X1035" s="183"/>
      <c r="Y1035" s="183"/>
      <c r="Z1035" s="183"/>
      <c r="AA1035" s="183"/>
      <c r="AB1035" s="183"/>
      <c r="AC1035" s="183"/>
      <c r="AD1035" s="183"/>
      <c r="AE1035" s="183"/>
      <c r="AF1035" s="183"/>
      <c r="AG1035" s="183"/>
      <c r="AH1035" s="183"/>
      <c r="AI1035" s="183"/>
      <c r="AJ1035" s="183"/>
      <c r="AK1035" s="183"/>
      <c r="AL1035" s="183"/>
      <c r="AM1035" s="183"/>
      <c r="AN1035" s="183"/>
    </row>
    <row r="1036" spans="1:40" ht="13" customHeight="1">
      <c r="A1036" s="183"/>
      <c r="B1036" s="183"/>
      <c r="C1036" s="183"/>
      <c r="D1036" s="183"/>
      <c r="E1036" s="183"/>
      <c r="F1036" s="183"/>
      <c r="G1036" s="183"/>
      <c r="H1036" s="183"/>
      <c r="I1036" s="183"/>
      <c r="J1036" s="183"/>
      <c r="K1036" s="183"/>
      <c r="L1036" s="183"/>
      <c r="M1036" s="183"/>
      <c r="N1036" s="183"/>
      <c r="O1036" s="183"/>
      <c r="P1036" s="183"/>
      <c r="Q1036" s="183"/>
      <c r="R1036" s="183"/>
      <c r="S1036" s="183"/>
      <c r="T1036" s="183"/>
      <c r="U1036" s="183"/>
      <c r="V1036" s="183"/>
      <c r="W1036" s="183"/>
      <c r="X1036" s="183"/>
      <c r="Y1036" s="183"/>
      <c r="Z1036" s="183"/>
      <c r="AA1036" s="183"/>
      <c r="AB1036" s="183"/>
      <c r="AC1036" s="183"/>
      <c r="AD1036" s="183"/>
      <c r="AE1036" s="183"/>
      <c r="AF1036" s="183"/>
      <c r="AG1036" s="183"/>
      <c r="AH1036" s="183"/>
      <c r="AI1036" s="183"/>
      <c r="AJ1036" s="183"/>
      <c r="AK1036" s="183"/>
      <c r="AL1036" s="183"/>
      <c r="AM1036" s="183"/>
      <c r="AN1036" s="183"/>
    </row>
    <row r="1037" spans="1:40" ht="13" customHeight="1">
      <c r="A1037" s="183"/>
      <c r="B1037" s="183"/>
      <c r="C1037" s="183"/>
      <c r="D1037" s="183"/>
      <c r="E1037" s="183"/>
      <c r="F1037" s="183"/>
      <c r="G1037" s="183"/>
      <c r="H1037" s="183"/>
      <c r="I1037" s="183"/>
      <c r="J1037" s="183"/>
      <c r="K1037" s="183"/>
      <c r="L1037" s="183"/>
      <c r="M1037" s="183"/>
      <c r="N1037" s="183"/>
      <c r="O1037" s="183"/>
      <c r="P1037" s="183"/>
      <c r="Q1037" s="183"/>
      <c r="R1037" s="183"/>
      <c r="S1037" s="183"/>
      <c r="T1037" s="183"/>
      <c r="U1037" s="183"/>
      <c r="V1037" s="183"/>
      <c r="W1037" s="183"/>
      <c r="X1037" s="183"/>
      <c r="Y1037" s="183"/>
      <c r="Z1037" s="183"/>
      <c r="AA1037" s="183"/>
      <c r="AB1037" s="183"/>
      <c r="AC1037" s="183"/>
      <c r="AD1037" s="183"/>
      <c r="AE1037" s="183"/>
      <c r="AF1037" s="183"/>
      <c r="AG1037" s="183"/>
      <c r="AH1037" s="183"/>
      <c r="AI1037" s="183"/>
      <c r="AJ1037" s="183"/>
      <c r="AK1037" s="183"/>
      <c r="AL1037" s="183"/>
      <c r="AM1037" s="183"/>
      <c r="AN1037" s="183"/>
    </row>
    <row r="1038" spans="1:40" ht="13" customHeight="1">
      <c r="A1038" s="183"/>
      <c r="B1038" s="183"/>
      <c r="C1038" s="183"/>
      <c r="D1038" s="183"/>
      <c r="E1038" s="183"/>
      <c r="F1038" s="183"/>
      <c r="G1038" s="183"/>
      <c r="H1038" s="183"/>
      <c r="I1038" s="183"/>
      <c r="J1038" s="183"/>
      <c r="K1038" s="183"/>
      <c r="L1038" s="183"/>
      <c r="M1038" s="183"/>
      <c r="N1038" s="183"/>
      <c r="O1038" s="183"/>
      <c r="P1038" s="183"/>
      <c r="Q1038" s="183"/>
      <c r="R1038" s="183"/>
      <c r="S1038" s="183"/>
      <c r="T1038" s="183"/>
      <c r="U1038" s="183"/>
      <c r="V1038" s="183"/>
      <c r="W1038" s="183"/>
      <c r="X1038" s="183"/>
      <c r="Y1038" s="183"/>
      <c r="Z1038" s="183"/>
      <c r="AA1038" s="183"/>
      <c r="AB1038" s="183"/>
      <c r="AC1038" s="183"/>
      <c r="AD1038" s="183"/>
      <c r="AE1038" s="183"/>
      <c r="AF1038" s="183"/>
      <c r="AG1038" s="183"/>
      <c r="AH1038" s="183"/>
      <c r="AI1038" s="183"/>
      <c r="AJ1038" s="183"/>
      <c r="AK1038" s="183"/>
      <c r="AL1038" s="183"/>
      <c r="AM1038" s="183"/>
      <c r="AN1038" s="183"/>
    </row>
    <row r="1039" spans="1:40" ht="13" customHeight="1">
      <c r="A1039" s="183"/>
      <c r="B1039" s="183"/>
      <c r="C1039" s="183"/>
      <c r="D1039" s="183"/>
      <c r="E1039" s="183"/>
      <c r="F1039" s="183"/>
      <c r="G1039" s="183"/>
      <c r="H1039" s="183"/>
      <c r="I1039" s="183"/>
      <c r="J1039" s="183"/>
      <c r="K1039" s="183"/>
      <c r="L1039" s="183"/>
      <c r="M1039" s="183"/>
      <c r="N1039" s="183"/>
      <c r="O1039" s="183"/>
      <c r="P1039" s="183"/>
      <c r="Q1039" s="183"/>
      <c r="R1039" s="183"/>
      <c r="S1039" s="183"/>
      <c r="T1039" s="183"/>
      <c r="U1039" s="183"/>
      <c r="V1039" s="183"/>
      <c r="W1039" s="183"/>
      <c r="X1039" s="183"/>
      <c r="Y1039" s="183"/>
      <c r="Z1039" s="183"/>
      <c r="AA1039" s="183"/>
      <c r="AB1039" s="183"/>
      <c r="AC1039" s="183"/>
      <c r="AD1039" s="183"/>
      <c r="AE1039" s="183"/>
      <c r="AF1039" s="183"/>
      <c r="AG1039" s="183"/>
      <c r="AH1039" s="183"/>
      <c r="AI1039" s="183"/>
      <c r="AJ1039" s="183"/>
      <c r="AK1039" s="183"/>
      <c r="AL1039" s="183"/>
      <c r="AM1039" s="183"/>
      <c r="AN1039" s="183"/>
    </row>
    <row r="1040" spans="1:40" ht="13" customHeight="1">
      <c r="A1040" s="183"/>
      <c r="B1040" s="183"/>
      <c r="C1040" s="183"/>
      <c r="D1040" s="183"/>
      <c r="E1040" s="183"/>
      <c r="F1040" s="183"/>
      <c r="G1040" s="183"/>
      <c r="H1040" s="183"/>
      <c r="I1040" s="183"/>
      <c r="J1040" s="183"/>
      <c r="K1040" s="183"/>
      <c r="L1040" s="183"/>
      <c r="M1040" s="183"/>
      <c r="N1040" s="183"/>
      <c r="O1040" s="183"/>
      <c r="P1040" s="183"/>
      <c r="Q1040" s="183"/>
      <c r="R1040" s="183"/>
      <c r="S1040" s="183"/>
      <c r="T1040" s="183"/>
      <c r="U1040" s="183"/>
      <c r="V1040" s="183"/>
      <c r="W1040" s="183"/>
      <c r="X1040" s="183"/>
      <c r="Y1040" s="183"/>
      <c r="Z1040" s="183"/>
      <c r="AA1040" s="183"/>
      <c r="AB1040" s="183"/>
      <c r="AC1040" s="183"/>
      <c r="AD1040" s="183"/>
      <c r="AE1040" s="183"/>
      <c r="AF1040" s="183"/>
      <c r="AG1040" s="183"/>
      <c r="AH1040" s="183"/>
      <c r="AI1040" s="183"/>
      <c r="AJ1040" s="183"/>
      <c r="AK1040" s="183"/>
      <c r="AL1040" s="183"/>
      <c r="AM1040" s="183"/>
      <c r="AN1040" s="183"/>
    </row>
    <row r="1041" spans="1:40" ht="13" customHeight="1">
      <c r="A1041" s="183"/>
      <c r="B1041" s="183"/>
      <c r="C1041" s="183"/>
      <c r="D1041" s="183"/>
      <c r="E1041" s="183"/>
      <c r="F1041" s="183"/>
      <c r="G1041" s="183"/>
      <c r="H1041" s="183"/>
      <c r="I1041" s="183"/>
      <c r="J1041" s="183"/>
      <c r="K1041" s="183"/>
      <c r="L1041" s="183"/>
      <c r="M1041" s="183"/>
      <c r="N1041" s="183"/>
      <c r="O1041" s="183"/>
      <c r="P1041" s="183"/>
      <c r="Q1041" s="183"/>
      <c r="R1041" s="183"/>
      <c r="S1041" s="183"/>
      <c r="T1041" s="183"/>
      <c r="U1041" s="183"/>
      <c r="V1041" s="183"/>
      <c r="W1041" s="183"/>
      <c r="X1041" s="183"/>
      <c r="Y1041" s="183"/>
      <c r="Z1041" s="183"/>
      <c r="AA1041" s="183"/>
      <c r="AB1041" s="183"/>
      <c r="AC1041" s="183"/>
      <c r="AD1041" s="183"/>
      <c r="AE1041" s="183"/>
      <c r="AF1041" s="183"/>
      <c r="AG1041" s="183"/>
      <c r="AH1041" s="183"/>
      <c r="AI1041" s="183"/>
      <c r="AJ1041" s="183"/>
      <c r="AK1041" s="183"/>
      <c r="AL1041" s="183"/>
      <c r="AM1041" s="183"/>
      <c r="AN1041" s="183"/>
    </row>
    <row r="1042" spans="1:40" ht="13" customHeight="1">
      <c r="A1042" s="183"/>
      <c r="B1042" s="183"/>
      <c r="C1042" s="183"/>
      <c r="D1042" s="183"/>
      <c r="E1042" s="183"/>
      <c r="F1042" s="183"/>
      <c r="G1042" s="183"/>
      <c r="H1042" s="183"/>
      <c r="I1042" s="183"/>
      <c r="J1042" s="183"/>
      <c r="K1042" s="183"/>
      <c r="L1042" s="183"/>
      <c r="M1042" s="183"/>
      <c r="N1042" s="183"/>
      <c r="O1042" s="183"/>
      <c r="P1042" s="183"/>
      <c r="Q1042" s="183"/>
      <c r="R1042" s="183"/>
      <c r="S1042" s="183"/>
      <c r="T1042" s="183"/>
      <c r="U1042" s="183"/>
      <c r="V1042" s="183"/>
      <c r="W1042" s="183"/>
      <c r="X1042" s="183"/>
      <c r="Y1042" s="183"/>
      <c r="Z1042" s="183"/>
      <c r="AA1042" s="183"/>
      <c r="AB1042" s="183"/>
      <c r="AC1042" s="183"/>
      <c r="AD1042" s="183"/>
      <c r="AE1042" s="183"/>
      <c r="AF1042" s="183"/>
      <c r="AG1042" s="183"/>
      <c r="AH1042" s="183"/>
      <c r="AI1042" s="183"/>
      <c r="AJ1042" s="183"/>
      <c r="AK1042" s="183"/>
      <c r="AL1042" s="183"/>
      <c r="AM1042" s="183"/>
      <c r="AN1042" s="183"/>
    </row>
    <row r="1043" spans="1:40" ht="13" customHeight="1">
      <c r="A1043" s="183"/>
      <c r="B1043" s="183"/>
      <c r="C1043" s="183"/>
      <c r="D1043" s="183"/>
      <c r="E1043" s="183"/>
      <c r="F1043" s="183"/>
      <c r="G1043" s="183"/>
      <c r="H1043" s="183"/>
      <c r="I1043" s="183"/>
      <c r="J1043" s="183"/>
      <c r="K1043" s="183"/>
      <c r="L1043" s="183"/>
      <c r="M1043" s="183"/>
      <c r="N1043" s="183"/>
      <c r="O1043" s="183"/>
      <c r="P1043" s="183"/>
      <c r="Q1043" s="183"/>
      <c r="R1043" s="183"/>
      <c r="S1043" s="183"/>
      <c r="T1043" s="183"/>
      <c r="U1043" s="183"/>
      <c r="V1043" s="183"/>
      <c r="W1043" s="183"/>
      <c r="X1043" s="183"/>
      <c r="Y1043" s="183"/>
      <c r="Z1043" s="183"/>
      <c r="AA1043" s="183"/>
      <c r="AB1043" s="183"/>
      <c r="AC1043" s="183"/>
      <c r="AD1043" s="183"/>
      <c r="AE1043" s="183"/>
      <c r="AF1043" s="183"/>
      <c r="AG1043" s="183"/>
      <c r="AH1043" s="183"/>
      <c r="AI1043" s="183"/>
      <c r="AJ1043" s="183"/>
      <c r="AK1043" s="183"/>
      <c r="AL1043" s="183"/>
      <c r="AM1043" s="183"/>
      <c r="AN1043" s="183"/>
    </row>
    <row r="1044" spans="1:40" ht="13" customHeight="1">
      <c r="A1044" s="183"/>
      <c r="B1044" s="183"/>
      <c r="C1044" s="183"/>
      <c r="D1044" s="183"/>
      <c r="E1044" s="183"/>
      <c r="F1044" s="183"/>
      <c r="G1044" s="183"/>
      <c r="H1044" s="183"/>
      <c r="I1044" s="183"/>
      <c r="J1044" s="183"/>
      <c r="K1044" s="183"/>
      <c r="L1044" s="183"/>
      <c r="M1044" s="183"/>
      <c r="N1044" s="183"/>
      <c r="O1044" s="183"/>
      <c r="P1044" s="183"/>
      <c r="Q1044" s="183"/>
      <c r="R1044" s="183"/>
      <c r="S1044" s="183"/>
      <c r="T1044" s="183"/>
      <c r="U1044" s="183"/>
      <c r="V1044" s="183"/>
      <c r="W1044" s="183"/>
      <c r="X1044" s="183"/>
      <c r="Y1044" s="183"/>
      <c r="Z1044" s="183"/>
      <c r="AA1044" s="183"/>
      <c r="AB1044" s="183"/>
      <c r="AC1044" s="183"/>
      <c r="AD1044" s="183"/>
      <c r="AE1044" s="183"/>
      <c r="AF1044" s="183"/>
      <c r="AG1044" s="183"/>
      <c r="AH1044" s="183"/>
      <c r="AI1044" s="183"/>
      <c r="AJ1044" s="183"/>
      <c r="AK1044" s="183"/>
      <c r="AL1044" s="183"/>
      <c r="AM1044" s="183"/>
      <c r="AN1044" s="183"/>
    </row>
    <row r="1045" spans="1:40" ht="13" customHeight="1">
      <c r="A1045" s="183"/>
      <c r="B1045" s="183"/>
      <c r="C1045" s="183"/>
      <c r="D1045" s="183"/>
      <c r="E1045" s="183"/>
      <c r="F1045" s="183"/>
      <c r="G1045" s="183"/>
      <c r="H1045" s="183"/>
      <c r="I1045" s="183"/>
      <c r="J1045" s="183"/>
      <c r="K1045" s="183"/>
      <c r="L1045" s="183"/>
      <c r="M1045" s="183"/>
      <c r="N1045" s="183"/>
      <c r="O1045" s="183"/>
      <c r="P1045" s="183"/>
      <c r="Q1045" s="183"/>
      <c r="R1045" s="183"/>
      <c r="S1045" s="183"/>
      <c r="T1045" s="183"/>
      <c r="U1045" s="183"/>
      <c r="V1045" s="183"/>
      <c r="W1045" s="183"/>
      <c r="X1045" s="183"/>
      <c r="Y1045" s="183"/>
      <c r="Z1045" s="183"/>
      <c r="AA1045" s="183"/>
      <c r="AB1045" s="183"/>
      <c r="AC1045" s="183"/>
      <c r="AD1045" s="183"/>
      <c r="AE1045" s="183"/>
      <c r="AF1045" s="183"/>
      <c r="AG1045" s="183"/>
      <c r="AH1045" s="183"/>
      <c r="AI1045" s="183"/>
      <c r="AJ1045" s="183"/>
      <c r="AK1045" s="183"/>
      <c r="AL1045" s="183"/>
      <c r="AM1045" s="183"/>
      <c r="AN1045" s="183"/>
    </row>
    <row r="1046" spans="1:40" ht="13" customHeight="1">
      <c r="A1046" s="183"/>
      <c r="B1046" s="183"/>
      <c r="C1046" s="183"/>
      <c r="D1046" s="183"/>
      <c r="E1046" s="183"/>
      <c r="F1046" s="183"/>
      <c r="G1046" s="183"/>
      <c r="H1046" s="183"/>
      <c r="I1046" s="183"/>
      <c r="J1046" s="183"/>
      <c r="K1046" s="183"/>
      <c r="L1046" s="183"/>
      <c r="M1046" s="183"/>
      <c r="N1046" s="183"/>
      <c r="O1046" s="183"/>
      <c r="P1046" s="183"/>
      <c r="Q1046" s="183"/>
      <c r="R1046" s="183"/>
      <c r="S1046" s="183"/>
      <c r="T1046" s="183"/>
      <c r="U1046" s="183"/>
      <c r="V1046" s="183"/>
      <c r="W1046" s="183"/>
      <c r="X1046" s="183"/>
      <c r="Y1046" s="183"/>
      <c r="Z1046" s="183"/>
      <c r="AA1046" s="183"/>
      <c r="AB1046" s="183"/>
      <c r="AC1046" s="183"/>
      <c r="AD1046" s="183"/>
      <c r="AE1046" s="183"/>
      <c r="AF1046" s="183"/>
      <c r="AG1046" s="183"/>
      <c r="AH1046" s="183"/>
      <c r="AI1046" s="183"/>
      <c r="AJ1046" s="183"/>
      <c r="AK1046" s="183"/>
      <c r="AL1046" s="183"/>
      <c r="AM1046" s="183"/>
      <c r="AN1046" s="183"/>
    </row>
    <row r="1047" spans="1:40" ht="13" customHeight="1">
      <c r="A1047" s="183"/>
      <c r="B1047" s="183"/>
      <c r="C1047" s="183"/>
      <c r="D1047" s="183"/>
      <c r="E1047" s="183"/>
      <c r="F1047" s="183"/>
      <c r="G1047" s="183"/>
      <c r="H1047" s="183"/>
      <c r="I1047" s="183"/>
      <c r="J1047" s="183"/>
      <c r="K1047" s="183"/>
      <c r="L1047" s="183"/>
      <c r="M1047" s="183"/>
      <c r="N1047" s="183"/>
      <c r="O1047" s="183"/>
      <c r="P1047" s="183"/>
      <c r="Q1047" s="183"/>
      <c r="R1047" s="183"/>
      <c r="S1047" s="183"/>
      <c r="T1047" s="183"/>
      <c r="U1047" s="183"/>
      <c r="V1047" s="183"/>
      <c r="W1047" s="183"/>
      <c r="X1047" s="183"/>
      <c r="Y1047" s="183"/>
      <c r="Z1047" s="183"/>
      <c r="AA1047" s="183"/>
      <c r="AB1047" s="183"/>
      <c r="AC1047" s="183"/>
      <c r="AD1047" s="183"/>
      <c r="AE1047" s="183"/>
      <c r="AF1047" s="183"/>
      <c r="AG1047" s="183"/>
      <c r="AH1047" s="183"/>
      <c r="AI1047" s="183"/>
      <c r="AJ1047" s="183"/>
      <c r="AK1047" s="183"/>
      <c r="AL1047" s="183"/>
      <c r="AM1047" s="183"/>
      <c r="AN1047" s="183"/>
    </row>
    <row r="1048" spans="1:40" ht="13" customHeight="1">
      <c r="A1048" s="183"/>
      <c r="B1048" s="183"/>
      <c r="C1048" s="183"/>
      <c r="D1048" s="183"/>
      <c r="E1048" s="183"/>
      <c r="F1048" s="183"/>
      <c r="G1048" s="183"/>
      <c r="H1048" s="183"/>
      <c r="I1048" s="183"/>
      <c r="J1048" s="183"/>
      <c r="K1048" s="183"/>
      <c r="L1048" s="183"/>
      <c r="M1048" s="183"/>
      <c r="N1048" s="183"/>
      <c r="O1048" s="183"/>
      <c r="P1048" s="183"/>
      <c r="Q1048" s="183"/>
      <c r="R1048" s="183"/>
      <c r="S1048" s="183"/>
      <c r="T1048" s="183"/>
      <c r="U1048" s="183"/>
      <c r="V1048" s="183"/>
      <c r="W1048" s="183"/>
      <c r="X1048" s="183"/>
      <c r="Y1048" s="183"/>
      <c r="Z1048" s="183"/>
      <c r="AA1048" s="183"/>
      <c r="AB1048" s="183"/>
      <c r="AC1048" s="183"/>
      <c r="AD1048" s="183"/>
      <c r="AE1048" s="183"/>
      <c r="AF1048" s="183"/>
      <c r="AG1048" s="183"/>
      <c r="AH1048" s="183"/>
      <c r="AI1048" s="183"/>
      <c r="AJ1048" s="183"/>
      <c r="AK1048" s="183"/>
      <c r="AL1048" s="183"/>
      <c r="AM1048" s="183"/>
      <c r="AN1048" s="183"/>
    </row>
    <row r="1049" spans="1:40" ht="13" customHeight="1">
      <c r="A1049" s="183"/>
      <c r="B1049" s="183"/>
      <c r="C1049" s="183"/>
      <c r="D1049" s="183"/>
      <c r="E1049" s="183"/>
      <c r="F1049" s="183"/>
      <c r="G1049" s="183"/>
      <c r="H1049" s="183"/>
      <c r="I1049" s="183"/>
      <c r="J1049" s="183"/>
      <c r="K1049" s="183"/>
      <c r="L1049" s="183"/>
      <c r="M1049" s="183"/>
      <c r="N1049" s="183"/>
      <c r="O1049" s="183"/>
      <c r="P1049" s="183"/>
      <c r="Q1049" s="183"/>
      <c r="R1049" s="183"/>
      <c r="S1049" s="183"/>
      <c r="T1049" s="183"/>
      <c r="U1049" s="183"/>
      <c r="V1049" s="183"/>
      <c r="W1049" s="183"/>
      <c r="X1049" s="183"/>
      <c r="Y1049" s="183"/>
      <c r="Z1049" s="183"/>
      <c r="AA1049" s="183"/>
      <c r="AB1049" s="183"/>
      <c r="AC1049" s="183"/>
      <c r="AD1049" s="183"/>
      <c r="AE1049" s="183"/>
      <c r="AF1049" s="183"/>
      <c r="AG1049" s="183"/>
      <c r="AH1049" s="183"/>
      <c r="AI1049" s="183"/>
      <c r="AJ1049" s="183"/>
      <c r="AK1049" s="183"/>
      <c r="AL1049" s="183"/>
      <c r="AM1049" s="183"/>
      <c r="AN1049" s="183"/>
    </row>
    <row r="1050" spans="1:40" ht="13" customHeight="1">
      <c r="A1050" s="183"/>
      <c r="B1050" s="183"/>
      <c r="C1050" s="183"/>
      <c r="D1050" s="183"/>
      <c r="E1050" s="183"/>
      <c r="F1050" s="183"/>
      <c r="G1050" s="183"/>
      <c r="H1050" s="183"/>
      <c r="I1050" s="183"/>
      <c r="J1050" s="183"/>
      <c r="K1050" s="183"/>
      <c r="L1050" s="183"/>
      <c r="M1050" s="183"/>
      <c r="N1050" s="183"/>
      <c r="O1050" s="183"/>
      <c r="P1050" s="183"/>
      <c r="Q1050" s="183"/>
      <c r="R1050" s="183"/>
      <c r="S1050" s="183"/>
      <c r="T1050" s="183"/>
      <c r="U1050" s="183"/>
      <c r="V1050" s="183"/>
      <c r="W1050" s="183"/>
      <c r="X1050" s="183"/>
      <c r="Y1050" s="183"/>
      <c r="Z1050" s="183"/>
      <c r="AA1050" s="183"/>
      <c r="AB1050" s="183"/>
      <c r="AC1050" s="183"/>
      <c r="AD1050" s="183"/>
      <c r="AE1050" s="183"/>
      <c r="AF1050" s="183"/>
      <c r="AG1050" s="183"/>
      <c r="AH1050" s="183"/>
      <c r="AI1050" s="183"/>
      <c r="AJ1050" s="183"/>
      <c r="AK1050" s="183"/>
      <c r="AL1050" s="183"/>
      <c r="AM1050" s="183"/>
      <c r="AN1050" s="183"/>
    </row>
    <row r="1051" spans="1:40" ht="13" customHeight="1">
      <c r="A1051" s="183"/>
      <c r="B1051" s="183"/>
      <c r="C1051" s="183"/>
      <c r="D1051" s="183"/>
      <c r="E1051" s="183"/>
      <c r="F1051" s="183"/>
      <c r="G1051" s="183"/>
      <c r="H1051" s="183"/>
      <c r="I1051" s="183"/>
      <c r="J1051" s="183"/>
      <c r="K1051" s="183"/>
      <c r="L1051" s="183"/>
      <c r="M1051" s="183"/>
      <c r="N1051" s="183"/>
      <c r="O1051" s="183"/>
      <c r="P1051" s="183"/>
      <c r="Q1051" s="183"/>
      <c r="R1051" s="183"/>
      <c r="S1051" s="183"/>
      <c r="T1051" s="183"/>
      <c r="U1051" s="183"/>
      <c r="V1051" s="183"/>
      <c r="W1051" s="183"/>
      <c r="X1051" s="183"/>
      <c r="Y1051" s="183"/>
      <c r="Z1051" s="183"/>
      <c r="AA1051" s="183"/>
      <c r="AB1051" s="183"/>
      <c r="AC1051" s="183"/>
      <c r="AD1051" s="183"/>
      <c r="AE1051" s="183"/>
      <c r="AF1051" s="183"/>
      <c r="AG1051" s="183"/>
      <c r="AH1051" s="183"/>
      <c r="AI1051" s="183"/>
      <c r="AJ1051" s="183"/>
      <c r="AK1051" s="183"/>
      <c r="AL1051" s="183"/>
      <c r="AM1051" s="183"/>
      <c r="AN1051" s="183"/>
    </row>
    <row r="1052" spans="1:40" ht="13" customHeight="1">
      <c r="A1052" s="183"/>
      <c r="B1052" s="183"/>
      <c r="C1052" s="183"/>
      <c r="D1052" s="183"/>
      <c r="E1052" s="183"/>
      <c r="F1052" s="183"/>
      <c r="G1052" s="183"/>
      <c r="H1052" s="183"/>
      <c r="I1052" s="183"/>
      <c r="J1052" s="183"/>
      <c r="K1052" s="183"/>
      <c r="L1052" s="183"/>
      <c r="M1052" s="183"/>
      <c r="N1052" s="183"/>
      <c r="O1052" s="183"/>
      <c r="P1052" s="183"/>
      <c r="Q1052" s="183"/>
      <c r="R1052" s="183"/>
      <c r="S1052" s="183"/>
      <c r="T1052" s="183"/>
      <c r="U1052" s="183"/>
      <c r="V1052" s="183"/>
      <c r="W1052" s="183"/>
      <c r="X1052" s="183"/>
      <c r="Y1052" s="183"/>
      <c r="Z1052" s="183"/>
      <c r="AA1052" s="183"/>
      <c r="AB1052" s="183"/>
      <c r="AC1052" s="183"/>
      <c r="AD1052" s="183"/>
      <c r="AE1052" s="183"/>
      <c r="AF1052" s="183"/>
      <c r="AG1052" s="183"/>
      <c r="AH1052" s="183"/>
      <c r="AI1052" s="183"/>
      <c r="AJ1052" s="183"/>
      <c r="AK1052" s="183"/>
      <c r="AL1052" s="183"/>
      <c r="AM1052" s="183"/>
      <c r="AN1052" s="183"/>
    </row>
    <row r="1053" spans="1:40" ht="13" customHeight="1">
      <c r="A1053" s="183"/>
      <c r="B1053" s="183"/>
      <c r="C1053" s="183"/>
      <c r="D1053" s="183"/>
      <c r="E1053" s="183"/>
      <c r="F1053" s="183"/>
      <c r="G1053" s="183"/>
      <c r="H1053" s="183"/>
      <c r="I1053" s="183"/>
      <c r="J1053" s="183"/>
      <c r="K1053" s="183"/>
      <c r="L1053" s="183"/>
      <c r="M1053" s="183"/>
      <c r="N1053" s="183"/>
      <c r="O1053" s="183"/>
      <c r="P1053" s="183"/>
      <c r="Q1053" s="183"/>
      <c r="R1053" s="183"/>
      <c r="S1053" s="183"/>
      <c r="T1053" s="183"/>
      <c r="U1053" s="183"/>
      <c r="V1053" s="183"/>
      <c r="W1053" s="183"/>
      <c r="X1053" s="183"/>
      <c r="Y1053" s="183"/>
      <c r="Z1053" s="183"/>
      <c r="AA1053" s="183"/>
      <c r="AB1053" s="183"/>
      <c r="AC1053" s="183"/>
      <c r="AD1053" s="183"/>
      <c r="AE1053" s="183"/>
      <c r="AF1053" s="183"/>
      <c r="AG1053" s="183"/>
      <c r="AH1053" s="183"/>
      <c r="AI1053" s="183"/>
      <c r="AJ1053" s="183"/>
      <c r="AK1053" s="183"/>
      <c r="AL1053" s="183"/>
      <c r="AM1053" s="183"/>
      <c r="AN1053" s="183"/>
    </row>
    <row r="1054" spans="1:40" ht="13" customHeight="1">
      <c r="A1054" s="183"/>
      <c r="B1054" s="183"/>
      <c r="C1054" s="183"/>
      <c r="D1054" s="183"/>
      <c r="E1054" s="183"/>
      <c r="F1054" s="183"/>
      <c r="G1054" s="183"/>
      <c r="H1054" s="183"/>
      <c r="I1054" s="183"/>
      <c r="J1054" s="183"/>
      <c r="K1054" s="183"/>
      <c r="L1054" s="183"/>
      <c r="M1054" s="183"/>
      <c r="N1054" s="183"/>
      <c r="O1054" s="183"/>
      <c r="P1054" s="183"/>
      <c r="Q1054" s="183"/>
      <c r="R1054" s="183"/>
      <c r="S1054" s="183"/>
      <c r="T1054" s="183"/>
      <c r="U1054" s="183"/>
      <c r="V1054" s="183"/>
      <c r="W1054" s="183"/>
      <c r="X1054" s="183"/>
      <c r="Y1054" s="183"/>
      <c r="Z1054" s="183"/>
      <c r="AA1054" s="183"/>
      <c r="AB1054" s="183"/>
      <c r="AC1054" s="183"/>
      <c r="AD1054" s="183"/>
      <c r="AE1054" s="183"/>
      <c r="AF1054" s="183"/>
      <c r="AG1054" s="183"/>
      <c r="AH1054" s="183"/>
      <c r="AI1054" s="183"/>
      <c r="AJ1054" s="183"/>
      <c r="AK1054" s="183"/>
      <c r="AL1054" s="183"/>
      <c r="AM1054" s="183"/>
      <c r="AN1054" s="183"/>
    </row>
    <row r="1055" spans="1:40" ht="13" customHeight="1">
      <c r="A1055" s="183"/>
      <c r="B1055" s="183"/>
      <c r="C1055" s="183"/>
      <c r="D1055" s="183"/>
      <c r="E1055" s="183"/>
      <c r="F1055" s="183"/>
      <c r="G1055" s="183"/>
      <c r="H1055" s="183"/>
      <c r="I1055" s="183"/>
      <c r="J1055" s="183"/>
      <c r="K1055" s="183"/>
      <c r="L1055" s="183"/>
      <c r="M1055" s="183"/>
      <c r="N1055" s="183"/>
      <c r="O1055" s="183"/>
      <c r="P1055" s="183"/>
      <c r="Q1055" s="183"/>
      <c r="R1055" s="183"/>
      <c r="S1055" s="183"/>
      <c r="T1055" s="183"/>
      <c r="U1055" s="183"/>
      <c r="V1055" s="183"/>
      <c r="W1055" s="183"/>
      <c r="X1055" s="183"/>
      <c r="Y1055" s="183"/>
      <c r="Z1055" s="183"/>
      <c r="AA1055" s="183"/>
      <c r="AB1055" s="183"/>
      <c r="AC1055" s="183"/>
      <c r="AD1055" s="183"/>
      <c r="AE1055" s="183"/>
      <c r="AF1055" s="183"/>
      <c r="AG1055" s="183"/>
      <c r="AH1055" s="183"/>
      <c r="AI1055" s="183"/>
      <c r="AJ1055" s="183"/>
      <c r="AK1055" s="183"/>
      <c r="AL1055" s="183"/>
      <c r="AM1055" s="183"/>
      <c r="AN1055" s="183"/>
    </row>
    <row r="1056" spans="1:40" ht="13" customHeight="1">
      <c r="A1056" s="183"/>
      <c r="B1056" s="183"/>
      <c r="C1056" s="183"/>
      <c r="D1056" s="183"/>
      <c r="E1056" s="183"/>
      <c r="F1056" s="183"/>
      <c r="G1056" s="183"/>
      <c r="H1056" s="183"/>
      <c r="I1056" s="183"/>
      <c r="J1056" s="183"/>
      <c r="K1056" s="183"/>
      <c r="L1056" s="183"/>
      <c r="M1056" s="183"/>
      <c r="N1056" s="183"/>
      <c r="O1056" s="183"/>
      <c r="P1056" s="183"/>
      <c r="Q1056" s="183"/>
      <c r="R1056" s="183"/>
      <c r="S1056" s="183"/>
      <c r="T1056" s="183"/>
      <c r="U1056" s="183"/>
      <c r="V1056" s="183"/>
      <c r="W1056" s="183"/>
      <c r="X1056" s="183"/>
      <c r="Y1056" s="183"/>
      <c r="Z1056" s="183"/>
      <c r="AA1056" s="183"/>
      <c r="AB1056" s="183"/>
      <c r="AC1056" s="183"/>
      <c r="AD1056" s="183"/>
      <c r="AE1056" s="183"/>
      <c r="AF1056" s="183"/>
      <c r="AG1056" s="183"/>
      <c r="AH1056" s="183"/>
      <c r="AI1056" s="183"/>
      <c r="AJ1056" s="183"/>
      <c r="AK1056" s="183"/>
      <c r="AL1056" s="183"/>
      <c r="AM1056" s="183"/>
      <c r="AN1056" s="183"/>
    </row>
    <row r="1057" spans="1:40" ht="13" customHeight="1">
      <c r="A1057" s="183"/>
      <c r="B1057" s="183"/>
      <c r="C1057" s="183"/>
      <c r="D1057" s="183"/>
      <c r="E1057" s="183"/>
      <c r="F1057" s="183"/>
      <c r="G1057" s="183"/>
      <c r="H1057" s="183"/>
      <c r="I1057" s="183"/>
      <c r="J1057" s="183"/>
      <c r="K1057" s="183"/>
      <c r="L1057" s="183"/>
      <c r="M1057" s="183"/>
      <c r="N1057" s="183"/>
      <c r="O1057" s="183"/>
      <c r="P1057" s="183"/>
      <c r="Q1057" s="183"/>
      <c r="R1057" s="183"/>
      <c r="S1057" s="183"/>
      <c r="T1057" s="183"/>
      <c r="U1057" s="183"/>
      <c r="V1057" s="183"/>
      <c r="W1057" s="183"/>
      <c r="X1057" s="183"/>
      <c r="Y1057" s="183"/>
      <c r="Z1057" s="183"/>
      <c r="AA1057" s="183"/>
      <c r="AB1057" s="183"/>
      <c r="AC1057" s="183"/>
      <c r="AD1057" s="183"/>
      <c r="AE1057" s="183"/>
      <c r="AF1057" s="183"/>
      <c r="AG1057" s="183"/>
      <c r="AH1057" s="183"/>
      <c r="AI1057" s="183"/>
      <c r="AJ1057" s="183"/>
      <c r="AK1057" s="183"/>
      <c r="AL1057" s="183"/>
      <c r="AM1057" s="183"/>
      <c r="AN1057" s="183"/>
    </row>
    <row r="1058" spans="1:40" ht="13" customHeight="1">
      <c r="A1058" s="183"/>
      <c r="B1058" s="183"/>
      <c r="C1058" s="183"/>
      <c r="D1058" s="183"/>
      <c r="E1058" s="183"/>
      <c r="F1058" s="183"/>
      <c r="G1058" s="183"/>
      <c r="H1058" s="183"/>
      <c r="I1058" s="183"/>
      <c r="J1058" s="183"/>
      <c r="K1058" s="183"/>
      <c r="L1058" s="183"/>
      <c r="M1058" s="183"/>
      <c r="N1058" s="183"/>
      <c r="O1058" s="183"/>
      <c r="P1058" s="183"/>
      <c r="Q1058" s="183"/>
      <c r="R1058" s="183"/>
      <c r="S1058" s="183"/>
      <c r="T1058" s="183"/>
      <c r="U1058" s="183"/>
      <c r="V1058" s="183"/>
      <c r="W1058" s="183"/>
      <c r="X1058" s="183"/>
      <c r="Y1058" s="183"/>
      <c r="Z1058" s="183"/>
      <c r="AA1058" s="183"/>
      <c r="AB1058" s="183"/>
      <c r="AC1058" s="183"/>
      <c r="AD1058" s="183"/>
      <c r="AE1058" s="183"/>
      <c r="AF1058" s="183"/>
      <c r="AG1058" s="183"/>
      <c r="AH1058" s="183"/>
      <c r="AI1058" s="183"/>
      <c r="AJ1058" s="183"/>
      <c r="AK1058" s="183"/>
      <c r="AL1058" s="183"/>
      <c r="AM1058" s="183"/>
      <c r="AN1058" s="183"/>
    </row>
    <row r="1059" spans="1:40" ht="13" customHeight="1">
      <c r="A1059" s="183"/>
      <c r="B1059" s="183"/>
      <c r="C1059" s="183"/>
      <c r="D1059" s="183"/>
      <c r="E1059" s="183"/>
      <c r="F1059" s="183"/>
      <c r="G1059" s="183"/>
      <c r="H1059" s="183"/>
      <c r="I1059" s="183"/>
      <c r="J1059" s="183"/>
      <c r="K1059" s="183"/>
      <c r="L1059" s="183"/>
      <c r="M1059" s="183"/>
      <c r="N1059" s="183"/>
      <c r="O1059" s="183"/>
      <c r="P1059" s="183"/>
      <c r="Q1059" s="183"/>
      <c r="R1059" s="183"/>
      <c r="S1059" s="183"/>
      <c r="T1059" s="183"/>
      <c r="U1059" s="183"/>
      <c r="V1059" s="183"/>
      <c r="W1059" s="183"/>
      <c r="X1059" s="183"/>
      <c r="Y1059" s="183"/>
      <c r="Z1059" s="183"/>
      <c r="AA1059" s="183"/>
      <c r="AB1059" s="183"/>
      <c r="AC1059" s="183"/>
      <c r="AD1059" s="183"/>
      <c r="AE1059" s="183"/>
      <c r="AF1059" s="183"/>
      <c r="AG1059" s="183"/>
      <c r="AH1059" s="183"/>
      <c r="AI1059" s="183"/>
      <c r="AJ1059" s="183"/>
      <c r="AK1059" s="183"/>
      <c r="AL1059" s="183"/>
      <c r="AM1059" s="183"/>
      <c r="AN1059" s="183"/>
    </row>
    <row r="1060" spans="1:40" ht="13" customHeight="1">
      <c r="A1060" s="183"/>
      <c r="B1060" s="183"/>
      <c r="C1060" s="183"/>
      <c r="D1060" s="183"/>
      <c r="E1060" s="183"/>
      <c r="F1060" s="183"/>
      <c r="G1060" s="183"/>
      <c r="H1060" s="183"/>
      <c r="I1060" s="183"/>
      <c r="J1060" s="183"/>
      <c r="K1060" s="183"/>
      <c r="L1060" s="183"/>
      <c r="M1060" s="183"/>
      <c r="N1060" s="183"/>
      <c r="O1060" s="183"/>
      <c r="P1060" s="183"/>
      <c r="Q1060" s="183"/>
      <c r="R1060" s="183"/>
      <c r="S1060" s="183"/>
      <c r="T1060" s="183"/>
      <c r="U1060" s="183"/>
      <c r="V1060" s="183"/>
      <c r="W1060" s="183"/>
      <c r="X1060" s="183"/>
      <c r="Y1060" s="183"/>
      <c r="Z1060" s="183"/>
      <c r="AA1060" s="183"/>
      <c r="AB1060" s="183"/>
      <c r="AC1060" s="183"/>
      <c r="AD1060" s="183"/>
      <c r="AE1060" s="183"/>
      <c r="AF1060" s="183"/>
      <c r="AG1060" s="183"/>
      <c r="AH1060" s="183"/>
      <c r="AI1060" s="183"/>
      <c r="AJ1060" s="183"/>
      <c r="AK1060" s="183"/>
      <c r="AL1060" s="183"/>
      <c r="AM1060" s="183"/>
      <c r="AN1060" s="183"/>
    </row>
    <row r="1061" spans="1:40" ht="13" customHeight="1">
      <c r="A1061" s="183"/>
      <c r="B1061" s="183"/>
      <c r="C1061" s="183"/>
      <c r="D1061" s="183"/>
      <c r="E1061" s="183"/>
      <c r="F1061" s="183"/>
      <c r="G1061" s="183"/>
      <c r="H1061" s="183"/>
      <c r="I1061" s="183"/>
      <c r="J1061" s="183"/>
      <c r="K1061" s="183"/>
      <c r="L1061" s="183"/>
      <c r="M1061" s="183"/>
      <c r="N1061" s="183"/>
      <c r="O1061" s="183"/>
      <c r="P1061" s="183"/>
      <c r="Q1061" s="183"/>
      <c r="R1061" s="183"/>
      <c r="S1061" s="183"/>
      <c r="T1061" s="183"/>
      <c r="U1061" s="183"/>
      <c r="V1061" s="183"/>
      <c r="W1061" s="183"/>
      <c r="X1061" s="183"/>
      <c r="Y1061" s="183"/>
      <c r="Z1061" s="183"/>
      <c r="AA1061" s="183"/>
      <c r="AB1061" s="183"/>
      <c r="AC1061" s="183"/>
      <c r="AD1061" s="183"/>
      <c r="AE1061" s="183"/>
      <c r="AF1061" s="183"/>
      <c r="AG1061" s="183"/>
      <c r="AH1061" s="183"/>
      <c r="AI1061" s="183"/>
      <c r="AJ1061" s="183"/>
      <c r="AK1061" s="183"/>
      <c r="AL1061" s="183"/>
      <c r="AM1061" s="183"/>
      <c r="AN1061" s="183"/>
    </row>
    <row r="1062" spans="1:40" ht="13" customHeight="1">
      <c r="A1062" s="183"/>
      <c r="B1062" s="183"/>
      <c r="C1062" s="183"/>
      <c r="D1062" s="183"/>
      <c r="E1062" s="183"/>
      <c r="F1062" s="183"/>
      <c r="G1062" s="183"/>
      <c r="H1062" s="183"/>
      <c r="I1062" s="183"/>
      <c r="J1062" s="183"/>
      <c r="K1062" s="183"/>
      <c r="L1062" s="183"/>
      <c r="M1062" s="183"/>
      <c r="N1062" s="183"/>
      <c r="O1062" s="183"/>
      <c r="P1062" s="183"/>
      <c r="Q1062" s="183"/>
      <c r="R1062" s="183"/>
      <c r="S1062" s="183"/>
      <c r="T1062" s="183"/>
      <c r="U1062" s="183"/>
      <c r="V1062" s="183"/>
      <c r="W1062" s="183"/>
      <c r="X1062" s="183"/>
      <c r="Y1062" s="183"/>
      <c r="Z1062" s="183"/>
      <c r="AA1062" s="183"/>
      <c r="AB1062" s="183"/>
      <c r="AC1062" s="183"/>
      <c r="AD1062" s="183"/>
      <c r="AE1062" s="183"/>
      <c r="AF1062" s="183"/>
      <c r="AG1062" s="183"/>
      <c r="AH1062" s="183"/>
      <c r="AI1062" s="183"/>
      <c r="AJ1062" s="183"/>
      <c r="AK1062" s="183"/>
      <c r="AL1062" s="183"/>
      <c r="AM1062" s="183"/>
      <c r="AN1062" s="183"/>
    </row>
    <row r="1063" spans="1:40" ht="13" customHeight="1">
      <c r="A1063" s="183"/>
      <c r="B1063" s="183"/>
      <c r="C1063" s="183"/>
      <c r="D1063" s="183"/>
      <c r="E1063" s="183"/>
      <c r="F1063" s="183"/>
      <c r="G1063" s="183"/>
      <c r="H1063" s="183"/>
      <c r="I1063" s="183"/>
      <c r="J1063" s="183"/>
      <c r="K1063" s="183"/>
      <c r="L1063" s="183"/>
      <c r="M1063" s="183"/>
      <c r="N1063" s="183"/>
      <c r="O1063" s="183"/>
      <c r="P1063" s="183"/>
      <c r="Q1063" s="183"/>
      <c r="R1063" s="183"/>
      <c r="S1063" s="183"/>
      <c r="T1063" s="183"/>
      <c r="U1063" s="183"/>
      <c r="V1063" s="183"/>
      <c r="W1063" s="183"/>
      <c r="X1063" s="183"/>
      <c r="Y1063" s="183"/>
      <c r="Z1063" s="183"/>
      <c r="AA1063" s="183"/>
      <c r="AB1063" s="183"/>
      <c r="AC1063" s="183"/>
      <c r="AD1063" s="183"/>
      <c r="AE1063" s="183"/>
      <c r="AF1063" s="183"/>
      <c r="AG1063" s="183"/>
      <c r="AH1063" s="183"/>
      <c r="AI1063" s="183"/>
      <c r="AJ1063" s="183"/>
      <c r="AK1063" s="183"/>
      <c r="AL1063" s="183"/>
      <c r="AM1063" s="183"/>
      <c r="AN1063" s="183"/>
    </row>
    <row r="1064" spans="1:40" ht="13" customHeight="1">
      <c r="A1064" s="183"/>
      <c r="B1064" s="183"/>
      <c r="C1064" s="183"/>
      <c r="D1064" s="183"/>
      <c r="E1064" s="183"/>
      <c r="F1064" s="183"/>
      <c r="G1064" s="183"/>
      <c r="H1064" s="183"/>
      <c r="I1064" s="183"/>
      <c r="J1064" s="183"/>
      <c r="K1064" s="183"/>
      <c r="L1064" s="183"/>
      <c r="M1064" s="183"/>
      <c r="N1064" s="183"/>
      <c r="O1064" s="183"/>
      <c r="P1064" s="183"/>
      <c r="Q1064" s="183"/>
      <c r="R1064" s="183"/>
      <c r="S1064" s="183"/>
      <c r="T1064" s="183"/>
      <c r="U1064" s="183"/>
      <c r="V1064" s="183"/>
      <c r="W1064" s="183"/>
      <c r="X1064" s="183"/>
      <c r="Y1064" s="183"/>
      <c r="Z1064" s="183"/>
      <c r="AA1064" s="183"/>
      <c r="AB1064" s="183"/>
      <c r="AC1064" s="183"/>
      <c r="AD1064" s="183"/>
      <c r="AE1064" s="183"/>
      <c r="AF1064" s="183"/>
      <c r="AG1064" s="183"/>
      <c r="AH1064" s="183"/>
      <c r="AI1064" s="183"/>
      <c r="AJ1064" s="183"/>
      <c r="AK1064" s="183"/>
      <c r="AL1064" s="183"/>
      <c r="AM1064" s="183"/>
      <c r="AN1064" s="183"/>
    </row>
    <row r="1065" spans="1:40" ht="13" customHeight="1">
      <c r="A1065" s="183"/>
      <c r="B1065" s="183"/>
      <c r="C1065" s="183"/>
      <c r="D1065" s="183"/>
      <c r="E1065" s="183"/>
      <c r="F1065" s="183"/>
      <c r="G1065" s="183"/>
      <c r="H1065" s="183"/>
      <c r="I1065" s="183"/>
      <c r="J1065" s="183"/>
      <c r="K1065" s="183"/>
      <c r="L1065" s="183"/>
      <c r="M1065" s="183"/>
      <c r="N1065" s="183"/>
      <c r="O1065" s="183"/>
      <c r="P1065" s="183"/>
      <c r="Q1065" s="183"/>
      <c r="R1065" s="183"/>
      <c r="S1065" s="183"/>
      <c r="T1065" s="183"/>
      <c r="U1065" s="183"/>
      <c r="V1065" s="183"/>
      <c r="W1065" s="183"/>
      <c r="X1065" s="183"/>
      <c r="Y1065" s="183"/>
      <c r="Z1065" s="183"/>
      <c r="AA1065" s="183"/>
      <c r="AB1065" s="183"/>
      <c r="AC1065" s="183"/>
      <c r="AD1065" s="183"/>
      <c r="AE1065" s="183"/>
      <c r="AF1065" s="183"/>
      <c r="AG1065" s="183"/>
      <c r="AH1065" s="183"/>
      <c r="AI1065" s="183"/>
      <c r="AJ1065" s="183"/>
      <c r="AK1065" s="183"/>
      <c r="AL1065" s="183"/>
      <c r="AM1065" s="183"/>
      <c r="AN1065" s="183"/>
    </row>
    <row r="1066" spans="1:40" ht="13" customHeight="1">
      <c r="A1066" s="183"/>
      <c r="B1066" s="183"/>
      <c r="C1066" s="183"/>
      <c r="D1066" s="183"/>
      <c r="E1066" s="183"/>
      <c r="F1066" s="183"/>
      <c r="G1066" s="183"/>
      <c r="H1066" s="183"/>
      <c r="I1066" s="183"/>
      <c r="J1066" s="183"/>
      <c r="K1066" s="183"/>
      <c r="L1066" s="183"/>
      <c r="M1066" s="183"/>
      <c r="N1066" s="183"/>
      <c r="O1066" s="183"/>
      <c r="P1066" s="183"/>
      <c r="Q1066" s="183"/>
      <c r="R1066" s="183"/>
      <c r="S1066" s="183"/>
      <c r="T1066" s="183"/>
      <c r="U1066" s="183"/>
      <c r="V1066" s="183"/>
      <c r="W1066" s="183"/>
      <c r="X1066" s="183"/>
      <c r="Y1066" s="183"/>
      <c r="Z1066" s="183"/>
      <c r="AA1066" s="183"/>
      <c r="AB1066" s="183"/>
      <c r="AC1066" s="183"/>
      <c r="AD1066" s="183"/>
      <c r="AE1066" s="183"/>
      <c r="AF1066" s="183"/>
      <c r="AG1066" s="183"/>
      <c r="AH1066" s="183"/>
      <c r="AI1066" s="183"/>
      <c r="AJ1066" s="183"/>
      <c r="AK1066" s="183"/>
      <c r="AL1066" s="183"/>
      <c r="AM1066" s="183"/>
      <c r="AN1066" s="183"/>
    </row>
    <row r="1067" spans="1:40" ht="13" customHeight="1">
      <c r="A1067" s="183"/>
      <c r="B1067" s="183"/>
      <c r="C1067" s="183"/>
      <c r="D1067" s="183"/>
      <c r="E1067" s="183"/>
      <c r="F1067" s="183"/>
      <c r="G1067" s="183"/>
      <c r="H1067" s="183"/>
      <c r="I1067" s="183"/>
      <c r="J1067" s="183"/>
      <c r="K1067" s="183"/>
      <c r="L1067" s="183"/>
      <c r="M1067" s="183"/>
      <c r="N1067" s="183"/>
      <c r="O1067" s="183"/>
      <c r="P1067" s="183"/>
      <c r="Q1067" s="183"/>
      <c r="R1067" s="183"/>
      <c r="S1067" s="183"/>
      <c r="T1067" s="183"/>
      <c r="U1067" s="183"/>
      <c r="V1067" s="183"/>
      <c r="W1067" s="183"/>
      <c r="X1067" s="183"/>
      <c r="Y1067" s="183"/>
      <c r="Z1067" s="183"/>
      <c r="AA1067" s="183"/>
      <c r="AB1067" s="183"/>
      <c r="AC1067" s="183"/>
      <c r="AD1067" s="183"/>
      <c r="AE1067" s="183"/>
      <c r="AF1067" s="183"/>
      <c r="AG1067" s="183"/>
      <c r="AH1067" s="183"/>
      <c r="AI1067" s="183"/>
      <c r="AJ1067" s="183"/>
      <c r="AK1067" s="183"/>
      <c r="AL1067" s="183"/>
      <c r="AM1067" s="183"/>
      <c r="AN1067" s="183"/>
    </row>
    <row r="1068" spans="1:40" ht="13" customHeight="1">
      <c r="A1068" s="183"/>
      <c r="B1068" s="183"/>
      <c r="C1068" s="183"/>
      <c r="D1068" s="183"/>
      <c r="E1068" s="183"/>
      <c r="F1068" s="183"/>
      <c r="G1068" s="183"/>
      <c r="H1068" s="183"/>
      <c r="I1068" s="183"/>
      <c r="J1068" s="183"/>
      <c r="K1068" s="183"/>
      <c r="L1068" s="183"/>
      <c r="M1068" s="183"/>
      <c r="N1068" s="183"/>
      <c r="O1068" s="183"/>
      <c r="P1068" s="183"/>
      <c r="Q1068" s="183"/>
      <c r="R1068" s="183"/>
      <c r="S1068" s="183"/>
      <c r="T1068" s="183"/>
      <c r="U1068" s="183"/>
      <c r="V1068" s="183"/>
      <c r="W1068" s="183"/>
      <c r="X1068" s="183"/>
      <c r="Y1068" s="183"/>
      <c r="Z1068" s="183"/>
      <c r="AA1068" s="183"/>
      <c r="AB1068" s="183"/>
      <c r="AC1068" s="183"/>
      <c r="AD1068" s="183"/>
      <c r="AE1068" s="183"/>
      <c r="AF1068" s="183"/>
      <c r="AG1068" s="183"/>
      <c r="AH1068" s="183"/>
      <c r="AI1068" s="183"/>
      <c r="AJ1068" s="183"/>
      <c r="AK1068" s="183"/>
      <c r="AL1068" s="183"/>
      <c r="AM1068" s="183"/>
      <c r="AN1068" s="183"/>
    </row>
    <row r="1069" spans="1:40" ht="13" customHeight="1">
      <c r="A1069" s="183"/>
      <c r="B1069" s="183"/>
      <c r="C1069" s="183"/>
      <c r="D1069" s="183"/>
      <c r="E1069" s="183"/>
      <c r="F1069" s="183"/>
      <c r="G1069" s="183"/>
      <c r="H1069" s="183"/>
      <c r="I1069" s="183"/>
      <c r="J1069" s="183"/>
      <c r="K1069" s="183"/>
      <c r="L1069" s="183"/>
      <c r="M1069" s="183"/>
      <c r="N1069" s="183"/>
      <c r="O1069" s="183"/>
      <c r="P1069" s="183"/>
      <c r="Q1069" s="183"/>
      <c r="R1069" s="183"/>
      <c r="S1069" s="183"/>
      <c r="T1069" s="183"/>
      <c r="U1069" s="183"/>
      <c r="V1069" s="183"/>
      <c r="W1069" s="183"/>
      <c r="X1069" s="183"/>
      <c r="Y1069" s="183"/>
      <c r="Z1069" s="183"/>
      <c r="AA1069" s="183"/>
      <c r="AB1069" s="183"/>
      <c r="AC1069" s="183"/>
      <c r="AD1069" s="183"/>
      <c r="AE1069" s="183"/>
      <c r="AF1069" s="183"/>
      <c r="AG1069" s="183"/>
      <c r="AH1069" s="183"/>
      <c r="AI1069" s="183"/>
      <c r="AJ1069" s="183"/>
      <c r="AK1069" s="183"/>
      <c r="AL1069" s="183"/>
      <c r="AM1069" s="183"/>
      <c r="AN1069" s="183"/>
    </row>
    <row r="1070" spans="1:40" ht="13" customHeight="1">
      <c r="A1070" s="183"/>
      <c r="B1070" s="183"/>
      <c r="C1070" s="183"/>
      <c r="D1070" s="183"/>
      <c r="E1070" s="183"/>
      <c r="F1070" s="183"/>
      <c r="G1070" s="183"/>
      <c r="H1070" s="183"/>
      <c r="I1070" s="183"/>
      <c r="J1070" s="183"/>
      <c r="K1070" s="183"/>
      <c r="L1070" s="183"/>
      <c r="M1070" s="183"/>
      <c r="N1070" s="183"/>
      <c r="O1070" s="183"/>
      <c r="P1070" s="183"/>
      <c r="Q1070" s="183"/>
      <c r="R1070" s="183"/>
      <c r="S1070" s="183"/>
      <c r="T1070" s="183"/>
      <c r="U1070" s="183"/>
      <c r="V1070" s="183"/>
      <c r="W1070" s="183"/>
      <c r="X1070" s="183"/>
      <c r="Y1070" s="183"/>
      <c r="Z1070" s="183"/>
      <c r="AA1070" s="183"/>
      <c r="AB1070" s="183"/>
      <c r="AC1070" s="183"/>
      <c r="AD1070" s="183"/>
      <c r="AE1070" s="183"/>
      <c r="AF1070" s="183"/>
      <c r="AG1070" s="183"/>
      <c r="AH1070" s="183"/>
      <c r="AI1070" s="183"/>
      <c r="AJ1070" s="183"/>
      <c r="AK1070" s="183"/>
      <c r="AL1070" s="183"/>
      <c r="AM1070" s="183"/>
      <c r="AN1070" s="183"/>
    </row>
    <row r="1071" spans="1:40" ht="13" customHeight="1">
      <c r="A1071" s="183"/>
      <c r="B1071" s="183"/>
      <c r="C1071" s="183"/>
      <c r="D1071" s="183"/>
      <c r="E1071" s="183"/>
      <c r="F1071" s="183"/>
      <c r="G1071" s="183"/>
      <c r="H1071" s="183"/>
      <c r="I1071" s="183"/>
      <c r="J1071" s="183"/>
      <c r="K1071" s="183"/>
      <c r="L1071" s="183"/>
      <c r="M1071" s="183"/>
      <c r="N1071" s="183"/>
      <c r="O1071" s="183"/>
      <c r="P1071" s="183"/>
      <c r="Q1071" s="183"/>
      <c r="R1071" s="183"/>
      <c r="S1071" s="183"/>
      <c r="T1071" s="183"/>
      <c r="U1071" s="183"/>
      <c r="V1071" s="183"/>
      <c r="W1071" s="183"/>
      <c r="X1071" s="183"/>
      <c r="Y1071" s="183"/>
      <c r="Z1071" s="183"/>
      <c r="AA1071" s="183"/>
      <c r="AB1071" s="183"/>
      <c r="AC1071" s="183"/>
      <c r="AD1071" s="183"/>
      <c r="AE1071" s="183"/>
      <c r="AF1071" s="183"/>
      <c r="AG1071" s="183"/>
      <c r="AH1071" s="183"/>
      <c r="AI1071" s="183"/>
      <c r="AJ1071" s="183"/>
      <c r="AK1071" s="183"/>
      <c r="AL1071" s="183"/>
      <c r="AM1071" s="183"/>
      <c r="AN1071" s="183"/>
    </row>
    <row r="1072" spans="1:40" ht="13" customHeight="1">
      <c r="A1072" s="183"/>
      <c r="B1072" s="183"/>
      <c r="C1072" s="183"/>
      <c r="D1072" s="183"/>
      <c r="E1072" s="183"/>
      <c r="F1072" s="183"/>
      <c r="G1072" s="183"/>
      <c r="H1072" s="183"/>
      <c r="I1072" s="183"/>
      <c r="J1072" s="183"/>
      <c r="K1072" s="183"/>
      <c r="L1072" s="183"/>
      <c r="M1072" s="183"/>
      <c r="N1072" s="183"/>
      <c r="O1072" s="183"/>
      <c r="P1072" s="183"/>
      <c r="Q1072" s="183"/>
      <c r="R1072" s="183"/>
      <c r="S1072" s="183"/>
      <c r="T1072" s="183"/>
      <c r="U1072" s="183"/>
      <c r="V1072" s="183"/>
      <c r="W1072" s="183"/>
      <c r="X1072" s="183"/>
      <c r="Y1072" s="183"/>
      <c r="Z1072" s="183"/>
      <c r="AA1072" s="183"/>
      <c r="AB1072" s="183"/>
      <c r="AC1072" s="183"/>
      <c r="AD1072" s="183"/>
      <c r="AE1072" s="183"/>
      <c r="AF1072" s="183"/>
      <c r="AG1072" s="183"/>
      <c r="AH1072" s="183"/>
      <c r="AI1072" s="183"/>
      <c r="AJ1072" s="183"/>
      <c r="AK1072" s="183"/>
      <c r="AL1072" s="183"/>
      <c r="AM1072" s="183"/>
      <c r="AN1072" s="183"/>
    </row>
    <row r="1073" spans="1:40" ht="13" customHeight="1">
      <c r="A1073" s="183"/>
      <c r="B1073" s="183"/>
      <c r="C1073" s="183"/>
      <c r="D1073" s="183"/>
      <c r="E1073" s="183"/>
      <c r="F1073" s="183"/>
      <c r="G1073" s="183"/>
      <c r="H1073" s="183"/>
      <c r="I1073" s="183"/>
      <c r="J1073" s="183"/>
      <c r="K1073" s="183"/>
      <c r="L1073" s="183"/>
      <c r="M1073" s="183"/>
      <c r="N1073" s="183"/>
      <c r="O1073" s="183"/>
      <c r="P1073" s="183"/>
      <c r="Q1073" s="183"/>
      <c r="R1073" s="183"/>
      <c r="S1073" s="183"/>
      <c r="T1073" s="183"/>
      <c r="U1073" s="183"/>
      <c r="V1073" s="183"/>
      <c r="W1073" s="183"/>
      <c r="X1073" s="183"/>
      <c r="Y1073" s="183"/>
      <c r="Z1073" s="183"/>
      <c r="AA1073" s="183"/>
      <c r="AB1073" s="183"/>
      <c r="AC1073" s="183"/>
      <c r="AD1073" s="183"/>
      <c r="AE1073" s="183"/>
      <c r="AF1073" s="183"/>
      <c r="AG1073" s="183"/>
      <c r="AH1073" s="183"/>
      <c r="AI1073" s="183"/>
      <c r="AJ1073" s="183"/>
      <c r="AK1073" s="183"/>
      <c r="AL1073" s="183"/>
      <c r="AM1073" s="183"/>
      <c r="AN1073" s="183"/>
    </row>
    <row r="1074" spans="1:40" ht="13" customHeight="1">
      <c r="A1074" s="183"/>
      <c r="B1074" s="183"/>
      <c r="C1074" s="183"/>
      <c r="D1074" s="183"/>
      <c r="E1074" s="183"/>
      <c r="F1074" s="183"/>
      <c r="G1074" s="183"/>
      <c r="H1074" s="183"/>
      <c r="I1074" s="183"/>
      <c r="J1074" s="183"/>
      <c r="K1074" s="183"/>
      <c r="L1074" s="183"/>
      <c r="M1074" s="183"/>
      <c r="N1074" s="183"/>
      <c r="O1074" s="183"/>
      <c r="P1074" s="183"/>
      <c r="Q1074" s="183"/>
      <c r="R1074" s="183"/>
      <c r="S1074" s="183"/>
      <c r="T1074" s="183"/>
      <c r="U1074" s="183"/>
      <c r="V1074" s="183"/>
      <c r="W1074" s="183"/>
      <c r="X1074" s="183"/>
      <c r="Y1074" s="183"/>
      <c r="Z1074" s="183"/>
      <c r="AA1074" s="183"/>
      <c r="AB1074" s="183"/>
      <c r="AC1074" s="183"/>
      <c r="AD1074" s="183"/>
      <c r="AE1074" s="183"/>
      <c r="AF1074" s="183"/>
      <c r="AG1074" s="183"/>
      <c r="AH1074" s="183"/>
      <c r="AI1074" s="183"/>
      <c r="AJ1074" s="183"/>
      <c r="AK1074" s="183"/>
      <c r="AL1074" s="183"/>
      <c r="AM1074" s="183"/>
      <c r="AN1074" s="183"/>
    </row>
    <row r="1075" spans="1:40" ht="13" customHeight="1">
      <c r="A1075" s="183"/>
      <c r="B1075" s="183"/>
      <c r="C1075" s="183"/>
      <c r="D1075" s="183"/>
      <c r="E1075" s="183"/>
      <c r="F1075" s="183"/>
      <c r="G1075" s="183"/>
      <c r="H1075" s="183"/>
      <c r="I1075" s="183"/>
      <c r="J1075" s="183"/>
      <c r="K1075" s="183"/>
      <c r="L1075" s="183"/>
      <c r="M1075" s="183"/>
      <c r="N1075" s="183"/>
      <c r="O1075" s="183"/>
      <c r="P1075" s="183"/>
      <c r="Q1075" s="183"/>
      <c r="R1075" s="183"/>
      <c r="S1075" s="183"/>
      <c r="T1075" s="183"/>
      <c r="U1075" s="183"/>
      <c r="V1075" s="183"/>
      <c r="W1075" s="183"/>
      <c r="X1075" s="183"/>
      <c r="Y1075" s="183"/>
      <c r="Z1075" s="183"/>
      <c r="AA1075" s="183"/>
      <c r="AB1075" s="183"/>
      <c r="AC1075" s="183"/>
      <c r="AD1075" s="183"/>
      <c r="AE1075" s="183"/>
      <c r="AF1075" s="183"/>
      <c r="AG1075" s="183"/>
      <c r="AH1075" s="183"/>
      <c r="AI1075" s="183"/>
      <c r="AJ1075" s="183"/>
      <c r="AK1075" s="183"/>
      <c r="AL1075" s="183"/>
      <c r="AM1075" s="183"/>
      <c r="AN1075" s="183"/>
    </row>
    <row r="1076" spans="1:40" ht="13" customHeight="1">
      <c r="A1076" s="183"/>
      <c r="B1076" s="183"/>
      <c r="C1076" s="183"/>
      <c r="D1076" s="183"/>
      <c r="E1076" s="183"/>
      <c r="F1076" s="183"/>
      <c r="G1076" s="183"/>
      <c r="H1076" s="183"/>
      <c r="I1076" s="183"/>
      <c r="J1076" s="183"/>
      <c r="K1076" s="183"/>
      <c r="L1076" s="183"/>
      <c r="M1076" s="183"/>
      <c r="N1076" s="183"/>
      <c r="O1076" s="183"/>
      <c r="P1076" s="183"/>
      <c r="Q1076" s="183"/>
      <c r="R1076" s="183"/>
      <c r="S1076" s="183"/>
      <c r="T1076" s="183"/>
      <c r="U1076" s="183"/>
      <c r="V1076" s="183"/>
      <c r="W1076" s="183"/>
      <c r="X1076" s="183"/>
      <c r="Y1076" s="183"/>
      <c r="Z1076" s="183"/>
      <c r="AA1076" s="183"/>
      <c r="AB1076" s="183"/>
      <c r="AC1076" s="183"/>
      <c r="AD1076" s="183"/>
      <c r="AE1076" s="183"/>
      <c r="AF1076" s="183"/>
      <c r="AG1076" s="183"/>
      <c r="AH1076" s="183"/>
      <c r="AI1076" s="183"/>
      <c r="AJ1076" s="183"/>
      <c r="AK1076" s="183"/>
      <c r="AL1076" s="183"/>
      <c r="AM1076" s="183"/>
      <c r="AN1076" s="183"/>
    </row>
    <row r="1077" spans="1:40" ht="13" customHeight="1">
      <c r="A1077" s="183"/>
      <c r="B1077" s="183"/>
      <c r="C1077" s="183"/>
      <c r="D1077" s="183"/>
      <c r="E1077" s="183"/>
      <c r="F1077" s="183"/>
      <c r="G1077" s="183"/>
      <c r="H1077" s="183"/>
      <c r="I1077" s="183"/>
      <c r="J1077" s="183"/>
      <c r="K1077" s="183"/>
      <c r="L1077" s="183"/>
      <c r="M1077" s="183"/>
      <c r="N1077" s="183"/>
      <c r="O1077" s="183"/>
      <c r="P1077" s="183"/>
      <c r="Q1077" s="183"/>
      <c r="R1077" s="183"/>
      <c r="S1077" s="183"/>
      <c r="T1077" s="183"/>
      <c r="U1077" s="183"/>
      <c r="V1077" s="183"/>
      <c r="W1077" s="183"/>
      <c r="X1077" s="183"/>
      <c r="Y1077" s="183"/>
      <c r="Z1077" s="183"/>
      <c r="AA1077" s="183"/>
      <c r="AB1077" s="183"/>
      <c r="AC1077" s="183"/>
      <c r="AD1077" s="183"/>
      <c r="AE1077" s="183"/>
      <c r="AF1077" s="183"/>
      <c r="AG1077" s="183"/>
      <c r="AH1077" s="183"/>
      <c r="AI1077" s="183"/>
      <c r="AJ1077" s="183"/>
      <c r="AK1077" s="183"/>
      <c r="AL1077" s="183"/>
      <c r="AM1077" s="183"/>
      <c r="AN1077" s="183"/>
    </row>
    <row r="1078" spans="1:40" ht="13" customHeight="1">
      <c r="A1078" s="183"/>
      <c r="B1078" s="183"/>
      <c r="C1078" s="183"/>
      <c r="D1078" s="183"/>
      <c r="E1078" s="183"/>
      <c r="F1078" s="183"/>
      <c r="G1078" s="183"/>
      <c r="H1078" s="183"/>
      <c r="I1078" s="183"/>
      <c r="J1078" s="183"/>
      <c r="K1078" s="183"/>
      <c r="L1078" s="183"/>
      <c r="M1078" s="183"/>
      <c r="N1078" s="183"/>
      <c r="O1078" s="183"/>
      <c r="P1078" s="183"/>
      <c r="Q1078" s="183"/>
      <c r="R1078" s="183"/>
      <c r="S1078" s="183"/>
      <c r="T1078" s="183"/>
      <c r="U1078" s="183"/>
      <c r="V1078" s="183"/>
      <c r="W1078" s="183"/>
      <c r="X1078" s="183"/>
      <c r="Y1078" s="183"/>
      <c r="Z1078" s="183"/>
      <c r="AA1078" s="183"/>
      <c r="AB1078" s="183"/>
      <c r="AC1078" s="183"/>
      <c r="AD1078" s="183"/>
      <c r="AE1078" s="183"/>
      <c r="AF1078" s="183"/>
      <c r="AG1078" s="183"/>
      <c r="AH1078" s="183"/>
      <c r="AI1078" s="183"/>
      <c r="AJ1078" s="183"/>
      <c r="AK1078" s="183"/>
      <c r="AL1078" s="183"/>
      <c r="AM1078" s="183"/>
      <c r="AN1078" s="183"/>
    </row>
    <row r="1079" spans="1:40" ht="13" customHeight="1">
      <c r="A1079" s="183"/>
      <c r="B1079" s="183"/>
      <c r="C1079" s="183"/>
      <c r="D1079" s="183"/>
      <c r="E1079" s="183"/>
      <c r="F1079" s="183"/>
      <c r="G1079" s="183"/>
      <c r="H1079" s="183"/>
      <c r="I1079" s="183"/>
      <c r="J1079" s="183"/>
      <c r="K1079" s="183"/>
      <c r="L1079" s="183"/>
      <c r="M1079" s="183"/>
      <c r="N1079" s="183"/>
      <c r="O1079" s="183"/>
      <c r="P1079" s="183"/>
      <c r="Q1079" s="183"/>
      <c r="R1079" s="183"/>
      <c r="S1079" s="183"/>
      <c r="T1079" s="183"/>
      <c r="U1079" s="183"/>
      <c r="V1079" s="183"/>
      <c r="W1079" s="183"/>
      <c r="X1079" s="183"/>
      <c r="Y1079" s="183"/>
      <c r="Z1079" s="183"/>
      <c r="AA1079" s="183"/>
      <c r="AB1079" s="183"/>
      <c r="AC1079" s="183"/>
      <c r="AD1079" s="183"/>
      <c r="AE1079" s="183"/>
      <c r="AF1079" s="183"/>
      <c r="AG1079" s="183"/>
      <c r="AH1079" s="183"/>
      <c r="AI1079" s="183"/>
      <c r="AJ1079" s="183"/>
      <c r="AK1079" s="183"/>
      <c r="AL1079" s="183"/>
      <c r="AM1079" s="183"/>
      <c r="AN1079" s="183"/>
    </row>
    <row r="1080" spans="1:40" ht="13" customHeight="1">
      <c r="A1080" s="183"/>
      <c r="B1080" s="183"/>
      <c r="C1080" s="183"/>
      <c r="D1080" s="183"/>
      <c r="E1080" s="183"/>
      <c r="F1080" s="183"/>
      <c r="G1080" s="183"/>
      <c r="H1080" s="183"/>
      <c r="I1080" s="183"/>
      <c r="J1080" s="183"/>
      <c r="K1080" s="183"/>
      <c r="L1080" s="183"/>
      <c r="M1080" s="183"/>
      <c r="N1080" s="183"/>
      <c r="O1080" s="183"/>
      <c r="P1080" s="183"/>
      <c r="Q1080" s="183"/>
      <c r="R1080" s="183"/>
      <c r="S1080" s="183"/>
      <c r="T1080" s="183"/>
      <c r="U1080" s="183"/>
      <c r="V1080" s="183"/>
      <c r="W1080" s="183"/>
      <c r="X1080" s="183"/>
      <c r="Y1080" s="183"/>
      <c r="Z1080" s="183"/>
      <c r="AA1080" s="183"/>
      <c r="AB1080" s="183"/>
      <c r="AC1080" s="183"/>
      <c r="AD1080" s="183"/>
      <c r="AE1080" s="183"/>
      <c r="AF1080" s="183"/>
      <c r="AG1080" s="183"/>
      <c r="AH1080" s="183"/>
      <c r="AI1080" s="183"/>
      <c r="AJ1080" s="183"/>
      <c r="AK1080" s="183"/>
      <c r="AL1080" s="183"/>
      <c r="AM1080" s="183"/>
      <c r="AN1080" s="183"/>
    </row>
    <row r="1081" spans="1:40" ht="13" customHeight="1">
      <c r="A1081" s="183"/>
      <c r="B1081" s="183"/>
      <c r="C1081" s="183"/>
      <c r="D1081" s="183"/>
      <c r="E1081" s="183"/>
      <c r="F1081" s="183"/>
      <c r="G1081" s="183"/>
      <c r="H1081" s="183"/>
      <c r="I1081" s="183"/>
      <c r="J1081" s="183"/>
      <c r="K1081" s="183"/>
      <c r="L1081" s="183"/>
      <c r="M1081" s="183"/>
      <c r="N1081" s="183"/>
      <c r="O1081" s="183"/>
      <c r="P1081" s="183"/>
      <c r="Q1081" s="183"/>
      <c r="R1081" s="183"/>
      <c r="S1081" s="183"/>
      <c r="T1081" s="183"/>
      <c r="U1081" s="183"/>
      <c r="V1081" s="183"/>
      <c r="W1081" s="183"/>
      <c r="X1081" s="183"/>
      <c r="Y1081" s="183"/>
      <c r="Z1081" s="183"/>
      <c r="AA1081" s="183"/>
      <c r="AB1081" s="183"/>
      <c r="AC1081" s="183"/>
      <c r="AD1081" s="183"/>
      <c r="AE1081" s="183"/>
      <c r="AF1081" s="183"/>
      <c r="AG1081" s="183"/>
      <c r="AH1081" s="183"/>
      <c r="AI1081" s="183"/>
      <c r="AJ1081" s="183"/>
      <c r="AK1081" s="183"/>
      <c r="AL1081" s="183"/>
      <c r="AM1081" s="183"/>
      <c r="AN1081" s="183"/>
    </row>
    <row r="1082" spans="1:40" ht="13" customHeight="1">
      <c r="A1082" s="183"/>
      <c r="B1082" s="183"/>
      <c r="C1082" s="183"/>
      <c r="D1082" s="183"/>
      <c r="E1082" s="183"/>
      <c r="F1082" s="183"/>
      <c r="G1082" s="183"/>
      <c r="H1082" s="183"/>
      <c r="I1082" s="183"/>
      <c r="J1082" s="183"/>
      <c r="K1082" s="183"/>
      <c r="L1082" s="183"/>
      <c r="M1082" s="183"/>
      <c r="N1082" s="183"/>
      <c r="O1082" s="183"/>
      <c r="P1082" s="183"/>
      <c r="Q1082" s="183"/>
      <c r="R1082" s="183"/>
      <c r="S1082" s="183"/>
      <c r="T1082" s="183"/>
      <c r="U1082" s="183"/>
      <c r="V1082" s="183"/>
      <c r="W1082" s="183"/>
      <c r="X1082" s="183"/>
      <c r="Y1082" s="183"/>
      <c r="Z1082" s="183"/>
      <c r="AA1082" s="183"/>
      <c r="AB1082" s="183"/>
      <c r="AC1082" s="183"/>
      <c r="AD1082" s="183"/>
      <c r="AE1082" s="183"/>
      <c r="AF1082" s="183"/>
      <c r="AG1082" s="183"/>
      <c r="AH1082" s="183"/>
      <c r="AI1082" s="183"/>
      <c r="AJ1082" s="183"/>
      <c r="AK1082" s="183"/>
      <c r="AL1082" s="183"/>
      <c r="AM1082" s="183"/>
      <c r="AN1082" s="183"/>
    </row>
    <row r="1083" spans="1:40" ht="13" customHeight="1">
      <c r="A1083" s="183"/>
      <c r="B1083" s="183"/>
      <c r="C1083" s="183"/>
      <c r="D1083" s="183"/>
      <c r="E1083" s="183"/>
      <c r="F1083" s="183"/>
      <c r="G1083" s="183"/>
      <c r="H1083" s="183"/>
      <c r="I1083" s="183"/>
      <c r="J1083" s="183"/>
      <c r="K1083" s="183"/>
      <c r="L1083" s="183"/>
      <c r="M1083" s="183"/>
      <c r="N1083" s="183"/>
      <c r="O1083" s="183"/>
      <c r="P1083" s="183"/>
      <c r="Q1083" s="183"/>
      <c r="R1083" s="183"/>
      <c r="S1083" s="183"/>
      <c r="T1083" s="183"/>
      <c r="U1083" s="183"/>
      <c r="V1083" s="183"/>
      <c r="W1083" s="183"/>
      <c r="X1083" s="183"/>
      <c r="Y1083" s="183"/>
      <c r="Z1083" s="183"/>
      <c r="AA1083" s="183"/>
      <c r="AB1083" s="183"/>
      <c r="AC1083" s="183"/>
      <c r="AD1083" s="183"/>
      <c r="AE1083" s="183"/>
      <c r="AF1083" s="183"/>
      <c r="AG1083" s="183"/>
      <c r="AH1083" s="183"/>
      <c r="AI1083" s="183"/>
      <c r="AJ1083" s="183"/>
      <c r="AK1083" s="183"/>
      <c r="AL1083" s="183"/>
      <c r="AM1083" s="183"/>
      <c r="AN1083" s="183"/>
    </row>
    <row r="1084" spans="1:40" ht="13" customHeight="1">
      <c r="A1084" s="183"/>
      <c r="B1084" s="183"/>
      <c r="C1084" s="183"/>
      <c r="D1084" s="183"/>
      <c r="E1084" s="183"/>
      <c r="F1084" s="183"/>
      <c r="G1084" s="183"/>
      <c r="H1084" s="183"/>
      <c r="I1084" s="183"/>
      <c r="J1084" s="183"/>
      <c r="K1084" s="183"/>
      <c r="L1084" s="183"/>
      <c r="M1084" s="183"/>
      <c r="N1084" s="183"/>
      <c r="O1084" s="183"/>
      <c r="P1084" s="183"/>
      <c r="Q1084" s="183"/>
      <c r="R1084" s="183"/>
      <c r="S1084" s="183"/>
      <c r="T1084" s="183"/>
      <c r="U1084" s="183"/>
      <c r="V1084" s="183"/>
      <c r="W1084" s="183"/>
      <c r="X1084" s="183"/>
      <c r="Y1084" s="183"/>
      <c r="Z1084" s="183"/>
      <c r="AA1084" s="183"/>
      <c r="AB1084" s="183"/>
      <c r="AC1084" s="183"/>
      <c r="AD1084" s="183"/>
      <c r="AE1084" s="183"/>
      <c r="AF1084" s="183"/>
      <c r="AG1084" s="183"/>
      <c r="AH1084" s="183"/>
      <c r="AI1084" s="183"/>
      <c r="AJ1084" s="183"/>
      <c r="AK1084" s="183"/>
      <c r="AL1084" s="183"/>
      <c r="AM1084" s="183"/>
      <c r="AN1084" s="183"/>
    </row>
    <row r="1085" spans="1:40" ht="13" customHeight="1">
      <c r="A1085" s="183"/>
      <c r="B1085" s="183"/>
      <c r="C1085" s="183"/>
      <c r="D1085" s="183"/>
      <c r="E1085" s="183"/>
      <c r="F1085" s="183"/>
      <c r="G1085" s="183"/>
      <c r="H1085" s="183"/>
      <c r="I1085" s="183"/>
      <c r="J1085" s="183"/>
      <c r="K1085" s="183"/>
      <c r="L1085" s="183"/>
      <c r="M1085" s="183"/>
      <c r="N1085" s="183"/>
      <c r="O1085" s="183"/>
      <c r="P1085" s="183"/>
      <c r="Q1085" s="183"/>
      <c r="R1085" s="183"/>
      <c r="S1085" s="183"/>
      <c r="T1085" s="183"/>
      <c r="U1085" s="183"/>
      <c r="V1085" s="183"/>
      <c r="W1085" s="183"/>
      <c r="X1085" s="183"/>
      <c r="Y1085" s="183"/>
      <c r="Z1085" s="183"/>
      <c r="AA1085" s="183"/>
      <c r="AB1085" s="183"/>
      <c r="AC1085" s="183"/>
      <c r="AD1085" s="183"/>
      <c r="AE1085" s="183"/>
      <c r="AF1085" s="183"/>
      <c r="AG1085" s="183"/>
      <c r="AH1085" s="183"/>
      <c r="AI1085" s="183"/>
      <c r="AJ1085" s="183"/>
      <c r="AK1085" s="183"/>
      <c r="AL1085" s="183"/>
      <c r="AM1085" s="183"/>
      <c r="AN1085" s="183"/>
    </row>
    <row r="1086" spans="1:40" ht="13" customHeight="1">
      <c r="A1086" s="183"/>
      <c r="B1086" s="183"/>
      <c r="C1086" s="183"/>
      <c r="D1086" s="183"/>
      <c r="E1086" s="183"/>
      <c r="F1086" s="183"/>
      <c r="G1086" s="183"/>
      <c r="H1086" s="183"/>
      <c r="I1086" s="183"/>
      <c r="J1086" s="183"/>
      <c r="K1086" s="183"/>
      <c r="L1086" s="183"/>
      <c r="M1086" s="183"/>
      <c r="N1086" s="183"/>
      <c r="O1086" s="183"/>
      <c r="P1086" s="183"/>
      <c r="Q1086" s="183"/>
      <c r="R1086" s="183"/>
      <c r="S1086" s="183"/>
      <c r="T1086" s="183"/>
      <c r="U1086" s="183"/>
      <c r="V1086" s="183"/>
      <c r="W1086" s="183"/>
      <c r="X1086" s="183"/>
      <c r="Y1086" s="183"/>
      <c r="Z1086" s="183"/>
      <c r="AA1086" s="183"/>
      <c r="AB1086" s="183"/>
      <c r="AC1086" s="183"/>
      <c r="AD1086" s="183"/>
      <c r="AE1086" s="183"/>
      <c r="AF1086" s="183"/>
      <c r="AG1086" s="183"/>
      <c r="AH1086" s="183"/>
      <c r="AI1086" s="183"/>
      <c r="AJ1086" s="183"/>
      <c r="AK1086" s="183"/>
      <c r="AL1086" s="183"/>
      <c r="AM1086" s="183"/>
      <c r="AN1086" s="183"/>
    </row>
    <row r="1087" spans="1:40" ht="13" customHeight="1">
      <c r="A1087" s="183"/>
      <c r="B1087" s="183"/>
      <c r="C1087" s="183"/>
      <c r="D1087" s="183"/>
      <c r="E1087" s="183"/>
      <c r="F1087" s="183"/>
      <c r="G1087" s="183"/>
      <c r="H1087" s="183"/>
      <c r="I1087" s="183"/>
      <c r="J1087" s="183"/>
      <c r="K1087" s="183"/>
      <c r="L1087" s="183"/>
      <c r="M1087" s="183"/>
      <c r="N1087" s="183"/>
      <c r="O1087" s="183"/>
      <c r="P1087" s="183"/>
      <c r="Q1087" s="183"/>
      <c r="R1087" s="183"/>
      <c r="S1087" s="183"/>
      <c r="T1087" s="183"/>
      <c r="U1087" s="183"/>
      <c r="V1087" s="183"/>
      <c r="W1087" s="183"/>
      <c r="X1087" s="183"/>
      <c r="Y1087" s="183"/>
      <c r="Z1087" s="183"/>
      <c r="AA1087" s="183"/>
      <c r="AB1087" s="183"/>
      <c r="AC1087" s="183"/>
      <c r="AD1087" s="183"/>
      <c r="AE1087" s="183"/>
      <c r="AF1087" s="183"/>
      <c r="AG1087" s="183"/>
      <c r="AH1087" s="183"/>
      <c r="AI1087" s="183"/>
      <c r="AJ1087" s="183"/>
      <c r="AK1087" s="183"/>
      <c r="AL1087" s="183"/>
      <c r="AM1087" s="183"/>
      <c r="AN1087" s="183"/>
    </row>
    <row r="1088" spans="1:40" ht="13" customHeight="1">
      <c r="A1088" s="183"/>
      <c r="B1088" s="183"/>
      <c r="C1088" s="183"/>
      <c r="D1088" s="183"/>
      <c r="E1088" s="183"/>
      <c r="F1088" s="183"/>
      <c r="G1088" s="183"/>
      <c r="H1088" s="183"/>
      <c r="I1088" s="183"/>
      <c r="J1088" s="183"/>
      <c r="K1088" s="183"/>
      <c r="L1088" s="183"/>
      <c r="M1088" s="183"/>
      <c r="N1088" s="183"/>
      <c r="O1088" s="183"/>
      <c r="P1088" s="183"/>
      <c r="Q1088" s="183"/>
      <c r="R1088" s="183"/>
      <c r="S1088" s="183"/>
      <c r="T1088" s="183"/>
      <c r="U1088" s="183"/>
      <c r="V1088" s="183"/>
      <c r="W1088" s="183"/>
      <c r="X1088" s="183"/>
      <c r="Y1088" s="183"/>
      <c r="Z1088" s="183"/>
      <c r="AA1088" s="183"/>
      <c r="AB1088" s="183"/>
      <c r="AC1088" s="183"/>
      <c r="AD1088" s="183"/>
      <c r="AE1088" s="183"/>
      <c r="AF1088" s="183"/>
      <c r="AG1088" s="183"/>
      <c r="AH1088" s="183"/>
      <c r="AI1088" s="183"/>
      <c r="AJ1088" s="183"/>
      <c r="AK1088" s="183"/>
      <c r="AL1088" s="183"/>
      <c r="AM1088" s="183"/>
      <c r="AN1088" s="183"/>
    </row>
    <row r="1089" spans="1:40" ht="13" customHeight="1">
      <c r="A1089" s="183"/>
      <c r="B1089" s="183"/>
      <c r="C1089" s="183"/>
      <c r="D1089" s="183"/>
      <c r="E1089" s="183"/>
      <c r="F1089" s="183"/>
      <c r="G1089" s="183"/>
      <c r="H1089" s="183"/>
      <c r="I1089" s="183"/>
      <c r="J1089" s="183"/>
      <c r="K1089" s="183"/>
      <c r="L1089" s="183"/>
      <c r="M1089" s="183"/>
      <c r="N1089" s="183"/>
      <c r="O1089" s="183"/>
      <c r="P1089" s="183"/>
      <c r="Q1089" s="183"/>
      <c r="R1089" s="183"/>
      <c r="S1089" s="183"/>
      <c r="T1089" s="183"/>
      <c r="U1089" s="183"/>
      <c r="V1089" s="183"/>
      <c r="W1089" s="183"/>
      <c r="X1089" s="183"/>
      <c r="Y1089" s="183"/>
      <c r="Z1089" s="183"/>
      <c r="AA1089" s="183"/>
      <c r="AB1089" s="183"/>
      <c r="AC1089" s="183"/>
      <c r="AD1089" s="183"/>
      <c r="AE1089" s="183"/>
      <c r="AF1089" s="183"/>
      <c r="AG1089" s="183"/>
      <c r="AH1089" s="183"/>
      <c r="AI1089" s="183"/>
      <c r="AJ1089" s="183"/>
      <c r="AK1089" s="183"/>
      <c r="AL1089" s="183"/>
      <c r="AM1089" s="183"/>
      <c r="AN1089" s="183"/>
    </row>
    <row r="1090" spans="1:40" ht="13" customHeight="1">
      <c r="A1090" s="183"/>
      <c r="B1090" s="183"/>
      <c r="C1090" s="183"/>
      <c r="D1090" s="183"/>
      <c r="E1090" s="183"/>
      <c r="F1090" s="183"/>
      <c r="G1090" s="183"/>
      <c r="H1090" s="183"/>
      <c r="I1090" s="183"/>
      <c r="J1090" s="183"/>
      <c r="K1090" s="183"/>
      <c r="L1090" s="183"/>
      <c r="M1090" s="183"/>
      <c r="N1090" s="183"/>
      <c r="O1090" s="183"/>
      <c r="P1090" s="183"/>
      <c r="Q1090" s="183"/>
      <c r="R1090" s="183"/>
      <c r="S1090" s="183"/>
      <c r="T1090" s="183"/>
      <c r="U1090" s="183"/>
      <c r="V1090" s="183"/>
      <c r="W1090" s="183"/>
      <c r="X1090" s="183"/>
      <c r="Y1090" s="183"/>
      <c r="Z1090" s="183"/>
      <c r="AA1090" s="183"/>
      <c r="AB1090" s="183"/>
      <c r="AC1090" s="183"/>
      <c r="AD1090" s="183"/>
      <c r="AE1090" s="183"/>
      <c r="AF1090" s="183"/>
      <c r="AG1090" s="183"/>
      <c r="AH1090" s="183"/>
      <c r="AI1090" s="183"/>
      <c r="AJ1090" s="183"/>
      <c r="AK1090" s="183"/>
      <c r="AL1090" s="183"/>
      <c r="AM1090" s="183"/>
      <c r="AN1090" s="183"/>
    </row>
    <row r="1091" spans="1:40" ht="13" customHeight="1">
      <c r="A1091" s="183"/>
      <c r="B1091" s="183"/>
      <c r="C1091" s="183"/>
      <c r="D1091" s="183"/>
      <c r="E1091" s="183"/>
      <c r="F1091" s="183"/>
      <c r="G1091" s="183"/>
      <c r="H1091" s="183"/>
      <c r="I1091" s="183"/>
      <c r="J1091" s="183"/>
      <c r="K1091" s="183"/>
      <c r="L1091" s="183"/>
      <c r="M1091" s="183"/>
      <c r="N1091" s="183"/>
      <c r="O1091" s="183"/>
      <c r="P1091" s="183"/>
      <c r="Q1091" s="183"/>
      <c r="R1091" s="183"/>
      <c r="S1091" s="183"/>
      <c r="T1091" s="183"/>
      <c r="U1091" s="183"/>
      <c r="V1091" s="183"/>
      <c r="W1091" s="183"/>
      <c r="X1091" s="183"/>
      <c r="Y1091" s="183"/>
      <c r="Z1091" s="183"/>
      <c r="AA1091" s="183"/>
      <c r="AB1091" s="183"/>
      <c r="AC1091" s="183"/>
      <c r="AD1091" s="183"/>
      <c r="AE1091" s="183"/>
      <c r="AF1091" s="183"/>
      <c r="AG1091" s="183"/>
      <c r="AH1091" s="183"/>
      <c r="AI1091" s="183"/>
      <c r="AJ1091" s="183"/>
      <c r="AK1091" s="183"/>
      <c r="AL1091" s="183"/>
      <c r="AM1091" s="183"/>
      <c r="AN1091" s="183"/>
    </row>
    <row r="1092" spans="1:40" ht="13" customHeight="1">
      <c r="A1092" s="183"/>
      <c r="B1092" s="183"/>
      <c r="C1092" s="183"/>
      <c r="D1092" s="183"/>
      <c r="E1092" s="183"/>
      <c r="F1092" s="183"/>
      <c r="G1092" s="183"/>
      <c r="H1092" s="183"/>
      <c r="I1092" s="183"/>
      <c r="J1092" s="183"/>
      <c r="K1092" s="183"/>
      <c r="L1092" s="183"/>
      <c r="M1092" s="183"/>
      <c r="N1092" s="183"/>
      <c r="O1092" s="183"/>
      <c r="P1092" s="183"/>
      <c r="Q1092" s="183"/>
      <c r="R1092" s="183"/>
      <c r="S1092" s="183"/>
      <c r="T1092" s="183"/>
      <c r="U1092" s="183"/>
      <c r="V1092" s="183"/>
      <c r="W1092" s="183"/>
      <c r="X1092" s="183"/>
      <c r="Y1092" s="183"/>
      <c r="Z1092" s="183"/>
      <c r="AA1092" s="183"/>
      <c r="AB1092" s="183"/>
      <c r="AC1092" s="183"/>
      <c r="AD1092" s="183"/>
      <c r="AE1092" s="183"/>
      <c r="AF1092" s="183"/>
      <c r="AG1092" s="183"/>
      <c r="AH1092" s="183"/>
      <c r="AI1092" s="183"/>
      <c r="AJ1092" s="183"/>
      <c r="AK1092" s="183"/>
      <c r="AL1092" s="183"/>
      <c r="AM1092" s="183"/>
      <c r="AN1092" s="183"/>
    </row>
    <row r="1093" spans="1:40" ht="13" customHeight="1">
      <c r="A1093" s="183"/>
      <c r="B1093" s="183"/>
      <c r="C1093" s="183"/>
      <c r="D1093" s="183"/>
      <c r="E1093" s="183"/>
      <c r="F1093" s="183"/>
      <c r="G1093" s="183"/>
      <c r="H1093" s="183"/>
      <c r="I1093" s="183"/>
      <c r="J1093" s="183"/>
      <c r="K1093" s="183"/>
      <c r="L1093" s="183"/>
      <c r="M1093" s="183"/>
      <c r="N1093" s="183"/>
      <c r="O1093" s="183"/>
      <c r="P1093" s="183"/>
      <c r="Q1093" s="183"/>
      <c r="R1093" s="183"/>
      <c r="S1093" s="183"/>
      <c r="T1093" s="183"/>
      <c r="U1093" s="183"/>
      <c r="V1093" s="183"/>
      <c r="W1093" s="183"/>
      <c r="X1093" s="183"/>
      <c r="Y1093" s="183"/>
      <c r="Z1093" s="183"/>
      <c r="AA1093" s="183"/>
      <c r="AB1093" s="183"/>
      <c r="AC1093" s="183"/>
      <c r="AD1093" s="183"/>
      <c r="AE1093" s="183"/>
      <c r="AF1093" s="183"/>
      <c r="AG1093" s="183"/>
      <c r="AH1093" s="183"/>
      <c r="AI1093" s="183"/>
      <c r="AJ1093" s="183"/>
      <c r="AK1093" s="183"/>
      <c r="AL1093" s="183"/>
      <c r="AM1093" s="183"/>
      <c r="AN1093" s="183"/>
    </row>
    <row r="1094" spans="1:40" ht="13" customHeight="1">
      <c r="A1094" s="183"/>
      <c r="B1094" s="183"/>
      <c r="C1094" s="183"/>
      <c r="D1094" s="183"/>
      <c r="E1094" s="183"/>
      <c r="F1094" s="183"/>
      <c r="G1094" s="183"/>
      <c r="H1094" s="183"/>
      <c r="I1094" s="183"/>
      <c r="J1094" s="183"/>
      <c r="K1094" s="183"/>
      <c r="L1094" s="183"/>
      <c r="M1094" s="183"/>
      <c r="N1094" s="183"/>
      <c r="O1094" s="183"/>
      <c r="P1094" s="183"/>
      <c r="Q1094" s="183"/>
      <c r="R1094" s="183"/>
      <c r="S1094" s="183"/>
      <c r="T1094" s="183"/>
      <c r="U1094" s="183"/>
      <c r="V1094" s="183"/>
      <c r="W1094" s="183"/>
      <c r="X1094" s="183"/>
      <c r="Y1094" s="183"/>
      <c r="Z1094" s="183"/>
      <c r="AA1094" s="183"/>
      <c r="AB1094" s="183"/>
      <c r="AC1094" s="183"/>
      <c r="AD1094" s="183"/>
      <c r="AE1094" s="183"/>
      <c r="AF1094" s="183"/>
      <c r="AG1094" s="183"/>
      <c r="AH1094" s="183"/>
      <c r="AI1094" s="183"/>
      <c r="AJ1094" s="183"/>
      <c r="AK1094" s="183"/>
      <c r="AL1094" s="183"/>
      <c r="AM1094" s="183"/>
      <c r="AN1094" s="183"/>
    </row>
    <row r="1095" spans="1:40" ht="13" customHeight="1">
      <c r="A1095" s="183"/>
      <c r="B1095" s="183"/>
      <c r="C1095" s="183"/>
      <c r="D1095" s="183"/>
      <c r="E1095" s="183"/>
      <c r="F1095" s="183"/>
      <c r="G1095" s="183"/>
      <c r="H1095" s="183"/>
      <c r="I1095" s="183"/>
      <c r="J1095" s="183"/>
      <c r="K1095" s="183"/>
      <c r="L1095" s="183"/>
      <c r="M1095" s="183"/>
      <c r="N1095" s="183"/>
      <c r="O1095" s="183"/>
      <c r="P1095" s="183"/>
      <c r="Q1095" s="183"/>
      <c r="R1095" s="183"/>
      <c r="S1095" s="183"/>
      <c r="T1095" s="183"/>
      <c r="U1095" s="183"/>
      <c r="V1095" s="183"/>
      <c r="W1095" s="183"/>
      <c r="X1095" s="183"/>
      <c r="Y1095" s="183"/>
      <c r="Z1095" s="183"/>
      <c r="AA1095" s="183"/>
      <c r="AB1095" s="183"/>
      <c r="AC1095" s="183"/>
      <c r="AD1095" s="183"/>
      <c r="AE1095" s="183"/>
      <c r="AF1095" s="183"/>
      <c r="AG1095" s="183"/>
      <c r="AH1095" s="183"/>
      <c r="AI1095" s="183"/>
      <c r="AJ1095" s="183"/>
      <c r="AK1095" s="183"/>
      <c r="AL1095" s="183"/>
      <c r="AM1095" s="183"/>
      <c r="AN1095" s="183"/>
    </row>
    <row r="1096" spans="1:40" ht="13" customHeight="1">
      <c r="A1096" s="183"/>
      <c r="B1096" s="183"/>
      <c r="C1096" s="183"/>
      <c r="D1096" s="183"/>
      <c r="E1096" s="183"/>
      <c r="F1096" s="183"/>
      <c r="G1096" s="183"/>
      <c r="H1096" s="183"/>
      <c r="I1096" s="183"/>
      <c r="J1096" s="183"/>
      <c r="K1096" s="183"/>
      <c r="L1096" s="183"/>
      <c r="M1096" s="183"/>
      <c r="N1096" s="183"/>
      <c r="O1096" s="183"/>
      <c r="P1096" s="183"/>
      <c r="Q1096" s="183"/>
      <c r="R1096" s="183"/>
      <c r="S1096" s="183"/>
      <c r="T1096" s="183"/>
      <c r="U1096" s="183"/>
      <c r="V1096" s="183"/>
      <c r="W1096" s="183"/>
      <c r="X1096" s="183"/>
      <c r="Y1096" s="183"/>
      <c r="Z1096" s="183"/>
      <c r="AA1096" s="183"/>
      <c r="AB1096" s="183"/>
      <c r="AC1096" s="183"/>
      <c r="AD1096" s="183"/>
      <c r="AE1096" s="183"/>
      <c r="AF1096" s="183"/>
      <c r="AG1096" s="183"/>
      <c r="AH1096" s="183"/>
      <c r="AI1096" s="183"/>
      <c r="AJ1096" s="183"/>
      <c r="AK1096" s="183"/>
      <c r="AL1096" s="183"/>
      <c r="AM1096" s="183"/>
      <c r="AN1096" s="183"/>
    </row>
    <row r="1097" spans="1:40" ht="13" customHeight="1">
      <c r="A1097" s="183"/>
      <c r="B1097" s="183"/>
      <c r="C1097" s="183"/>
      <c r="D1097" s="183"/>
      <c r="E1097" s="183"/>
      <c r="F1097" s="183"/>
      <c r="G1097" s="183"/>
      <c r="H1097" s="183"/>
      <c r="I1097" s="183"/>
      <c r="J1097" s="183"/>
      <c r="K1097" s="183"/>
      <c r="L1097" s="183"/>
      <c r="M1097" s="183"/>
      <c r="N1097" s="183"/>
      <c r="O1097" s="183"/>
      <c r="P1097" s="183"/>
      <c r="Q1097" s="183"/>
      <c r="R1097" s="183"/>
      <c r="S1097" s="183"/>
      <c r="T1097" s="183"/>
      <c r="U1097" s="183"/>
      <c r="V1097" s="183"/>
      <c r="W1097" s="183"/>
      <c r="X1097" s="183"/>
      <c r="Y1097" s="183"/>
      <c r="Z1097" s="183"/>
      <c r="AA1097" s="183"/>
      <c r="AB1097" s="183"/>
      <c r="AC1097" s="183"/>
      <c r="AD1097" s="183"/>
      <c r="AE1097" s="183"/>
      <c r="AF1097" s="183"/>
      <c r="AG1097" s="183"/>
      <c r="AH1097" s="183"/>
      <c r="AI1097" s="183"/>
      <c r="AJ1097" s="183"/>
      <c r="AK1097" s="183"/>
      <c r="AL1097" s="183"/>
      <c r="AM1097" s="183"/>
      <c r="AN1097" s="183"/>
    </row>
    <row r="1098" spans="1:40" ht="13" customHeight="1">
      <c r="A1098" s="183"/>
      <c r="B1098" s="183"/>
      <c r="C1098" s="183"/>
      <c r="D1098" s="183"/>
      <c r="E1098" s="183"/>
      <c r="F1098" s="183"/>
      <c r="G1098" s="183"/>
      <c r="H1098" s="183"/>
      <c r="I1098" s="183"/>
      <c r="J1098" s="183"/>
      <c r="K1098" s="183"/>
      <c r="L1098" s="183"/>
      <c r="M1098" s="183"/>
      <c r="N1098" s="183"/>
      <c r="O1098" s="183"/>
      <c r="P1098" s="183"/>
      <c r="Q1098" s="183"/>
      <c r="R1098" s="183"/>
      <c r="S1098" s="183"/>
      <c r="T1098" s="183"/>
      <c r="U1098" s="183"/>
      <c r="V1098" s="183"/>
      <c r="W1098" s="183"/>
      <c r="X1098" s="183"/>
      <c r="Y1098" s="183"/>
      <c r="Z1098" s="183"/>
      <c r="AA1098" s="183"/>
      <c r="AB1098" s="183"/>
      <c r="AC1098" s="183"/>
      <c r="AD1098" s="183"/>
      <c r="AE1098" s="183"/>
      <c r="AF1098" s="183"/>
      <c r="AG1098" s="183"/>
      <c r="AH1098" s="183"/>
      <c r="AI1098" s="183"/>
      <c r="AJ1098" s="183"/>
      <c r="AK1098" s="183"/>
      <c r="AL1098" s="183"/>
      <c r="AM1098" s="183"/>
      <c r="AN1098" s="183"/>
    </row>
    <row r="1099" spans="1:40" ht="13" customHeight="1">
      <c r="A1099" s="183"/>
      <c r="B1099" s="183"/>
      <c r="C1099" s="183"/>
      <c r="D1099" s="183"/>
      <c r="E1099" s="183"/>
      <c r="F1099" s="183"/>
      <c r="G1099" s="183"/>
      <c r="H1099" s="183"/>
      <c r="I1099" s="183"/>
      <c r="J1099" s="183"/>
      <c r="K1099" s="183"/>
      <c r="L1099" s="183"/>
      <c r="M1099" s="183"/>
      <c r="N1099" s="183"/>
      <c r="O1099" s="183"/>
      <c r="P1099" s="183"/>
      <c r="Q1099" s="183"/>
      <c r="R1099" s="183"/>
      <c r="S1099" s="183"/>
      <c r="T1099" s="183"/>
      <c r="U1099" s="183"/>
      <c r="V1099" s="183"/>
      <c r="W1099" s="183"/>
      <c r="X1099" s="183"/>
      <c r="Y1099" s="183"/>
      <c r="Z1099" s="183"/>
      <c r="AA1099" s="183"/>
      <c r="AB1099" s="183"/>
      <c r="AC1099" s="183"/>
      <c r="AD1099" s="183"/>
      <c r="AE1099" s="183"/>
      <c r="AF1099" s="183"/>
      <c r="AG1099" s="183"/>
      <c r="AH1099" s="183"/>
      <c r="AI1099" s="183"/>
      <c r="AJ1099" s="183"/>
      <c r="AK1099" s="183"/>
      <c r="AL1099" s="183"/>
      <c r="AM1099" s="183"/>
      <c r="AN1099" s="183"/>
    </row>
    <row r="1100" spans="1:40" ht="13" customHeight="1">
      <c r="A1100" s="183"/>
      <c r="B1100" s="183"/>
      <c r="C1100" s="183"/>
      <c r="D1100" s="183"/>
      <c r="E1100" s="183"/>
      <c r="F1100" s="183"/>
      <c r="G1100" s="183"/>
      <c r="H1100" s="183"/>
      <c r="I1100" s="183"/>
      <c r="J1100" s="183"/>
      <c r="K1100" s="183"/>
      <c r="L1100" s="183"/>
      <c r="M1100" s="183"/>
      <c r="N1100" s="183"/>
      <c r="O1100" s="183"/>
      <c r="P1100" s="183"/>
      <c r="Q1100" s="183"/>
      <c r="R1100" s="183"/>
      <c r="S1100" s="183"/>
      <c r="T1100" s="183"/>
      <c r="U1100" s="183"/>
      <c r="V1100" s="183"/>
      <c r="W1100" s="183"/>
      <c r="X1100" s="183"/>
      <c r="Y1100" s="183"/>
      <c r="Z1100" s="183"/>
      <c r="AA1100" s="183"/>
      <c r="AB1100" s="183"/>
      <c r="AC1100" s="183"/>
      <c r="AD1100" s="183"/>
      <c r="AE1100" s="183"/>
      <c r="AF1100" s="183"/>
      <c r="AG1100" s="183"/>
      <c r="AH1100" s="183"/>
      <c r="AI1100" s="183"/>
      <c r="AJ1100" s="183"/>
      <c r="AK1100" s="183"/>
      <c r="AL1100" s="183"/>
      <c r="AM1100" s="183"/>
      <c r="AN1100" s="183"/>
    </row>
    <row r="1101" spans="1:40" ht="13" customHeight="1">
      <c r="A1101" s="183"/>
      <c r="B1101" s="183"/>
      <c r="C1101" s="183"/>
      <c r="D1101" s="183"/>
      <c r="E1101" s="183"/>
      <c r="F1101" s="183"/>
      <c r="G1101" s="183"/>
      <c r="H1101" s="183"/>
      <c r="I1101" s="183"/>
      <c r="J1101" s="183"/>
      <c r="K1101" s="183"/>
      <c r="L1101" s="183"/>
      <c r="M1101" s="183"/>
      <c r="N1101" s="183"/>
      <c r="O1101" s="183"/>
      <c r="P1101" s="183"/>
      <c r="Q1101" s="183"/>
      <c r="R1101" s="183"/>
      <c r="S1101" s="183"/>
      <c r="T1101" s="183"/>
      <c r="U1101" s="183"/>
      <c r="V1101" s="183"/>
      <c r="W1101" s="183"/>
      <c r="X1101" s="183"/>
      <c r="Y1101" s="183"/>
      <c r="Z1101" s="183"/>
      <c r="AA1101" s="183"/>
      <c r="AB1101" s="183"/>
      <c r="AC1101" s="183"/>
      <c r="AD1101" s="183"/>
      <c r="AE1101" s="183"/>
      <c r="AF1101" s="183"/>
      <c r="AG1101" s="183"/>
      <c r="AH1101" s="183"/>
      <c r="AI1101" s="183"/>
      <c r="AJ1101" s="183"/>
      <c r="AK1101" s="183"/>
      <c r="AL1101" s="183"/>
      <c r="AM1101" s="183"/>
      <c r="AN1101" s="183"/>
    </row>
    <row r="1102" spans="1:40" ht="13" customHeight="1">
      <c r="A1102" s="183"/>
      <c r="B1102" s="183"/>
      <c r="C1102" s="183"/>
      <c r="D1102" s="183"/>
      <c r="E1102" s="183"/>
      <c r="F1102" s="183"/>
      <c r="G1102" s="183"/>
      <c r="H1102" s="183"/>
      <c r="I1102" s="183"/>
      <c r="J1102" s="183"/>
      <c r="K1102" s="183"/>
      <c r="L1102" s="183"/>
      <c r="M1102" s="183"/>
      <c r="N1102" s="183"/>
      <c r="O1102" s="183"/>
      <c r="P1102" s="183"/>
      <c r="Q1102" s="183"/>
      <c r="R1102" s="183"/>
      <c r="S1102" s="183"/>
      <c r="T1102" s="183"/>
      <c r="U1102" s="183"/>
      <c r="V1102" s="183"/>
      <c r="W1102" s="183"/>
      <c r="X1102" s="183"/>
      <c r="Y1102" s="183"/>
      <c r="Z1102" s="183"/>
      <c r="AA1102" s="183"/>
      <c r="AB1102" s="183"/>
      <c r="AC1102" s="183"/>
      <c r="AD1102" s="183"/>
      <c r="AE1102" s="183"/>
      <c r="AF1102" s="183"/>
      <c r="AG1102" s="183"/>
      <c r="AH1102" s="183"/>
      <c r="AI1102" s="183"/>
      <c r="AJ1102" s="183"/>
      <c r="AK1102" s="183"/>
      <c r="AL1102" s="183"/>
      <c r="AM1102" s="183"/>
      <c r="AN1102" s="183"/>
    </row>
    <row r="1103" spans="1:40" ht="13" customHeight="1">
      <c r="A1103" s="183"/>
      <c r="B1103" s="183"/>
      <c r="C1103" s="183"/>
      <c r="D1103" s="183"/>
      <c r="E1103" s="183"/>
      <c r="F1103" s="183"/>
      <c r="G1103" s="183"/>
      <c r="H1103" s="183"/>
      <c r="I1103" s="183"/>
      <c r="J1103" s="183"/>
      <c r="K1103" s="183"/>
      <c r="L1103" s="183"/>
      <c r="M1103" s="183"/>
      <c r="N1103" s="183"/>
      <c r="O1103" s="183"/>
      <c r="P1103" s="183"/>
      <c r="Q1103" s="183"/>
      <c r="R1103" s="183"/>
      <c r="S1103" s="183"/>
      <c r="T1103" s="183"/>
      <c r="U1103" s="183"/>
      <c r="V1103" s="183"/>
      <c r="W1103" s="183"/>
      <c r="X1103" s="183"/>
      <c r="Y1103" s="183"/>
      <c r="Z1103" s="183"/>
      <c r="AA1103" s="183"/>
      <c r="AB1103" s="183"/>
      <c r="AC1103" s="183"/>
      <c r="AD1103" s="183"/>
      <c r="AE1103" s="183"/>
      <c r="AF1103" s="183"/>
      <c r="AG1103" s="183"/>
      <c r="AH1103" s="183"/>
      <c r="AI1103" s="183"/>
      <c r="AJ1103" s="183"/>
      <c r="AK1103" s="183"/>
      <c r="AL1103" s="183"/>
      <c r="AM1103" s="183"/>
      <c r="AN1103" s="183"/>
    </row>
    <row r="1104" spans="1:40" ht="13" customHeight="1">
      <c r="A1104" s="183"/>
      <c r="B1104" s="183"/>
      <c r="C1104" s="183"/>
      <c r="D1104" s="183"/>
      <c r="E1104" s="183"/>
      <c r="F1104" s="183"/>
      <c r="G1104" s="183"/>
      <c r="H1104" s="183"/>
      <c r="I1104" s="183"/>
      <c r="J1104" s="183"/>
      <c r="K1104" s="183"/>
      <c r="L1104" s="183"/>
      <c r="M1104" s="183"/>
      <c r="N1104" s="183"/>
      <c r="O1104" s="183"/>
      <c r="P1104" s="183"/>
      <c r="Q1104" s="183"/>
      <c r="R1104" s="183"/>
      <c r="S1104" s="183"/>
      <c r="T1104" s="183"/>
      <c r="U1104" s="183"/>
      <c r="V1104" s="183"/>
      <c r="W1104" s="183"/>
      <c r="X1104" s="183"/>
      <c r="Y1104" s="183"/>
      <c r="Z1104" s="183"/>
      <c r="AA1104" s="183"/>
      <c r="AB1104" s="183"/>
      <c r="AC1104" s="183"/>
      <c r="AD1104" s="183"/>
      <c r="AE1104" s="183"/>
      <c r="AF1104" s="183"/>
      <c r="AG1104" s="183"/>
      <c r="AH1104" s="183"/>
      <c r="AI1104" s="183"/>
      <c r="AJ1104" s="183"/>
      <c r="AK1104" s="183"/>
      <c r="AL1104" s="183"/>
      <c r="AM1104" s="183"/>
      <c r="AN1104" s="183"/>
    </row>
    <row r="1105" spans="1:40" ht="13" customHeight="1">
      <c r="A1105" s="183"/>
      <c r="B1105" s="183"/>
      <c r="C1105" s="183"/>
      <c r="D1105" s="183"/>
      <c r="E1105" s="183"/>
      <c r="F1105" s="183"/>
      <c r="G1105" s="183"/>
      <c r="H1105" s="183"/>
      <c r="I1105" s="183"/>
      <c r="J1105" s="183"/>
      <c r="K1105" s="183"/>
      <c r="L1105" s="183"/>
      <c r="M1105" s="183"/>
      <c r="N1105" s="183"/>
      <c r="O1105" s="183"/>
      <c r="P1105" s="183"/>
      <c r="Q1105" s="183"/>
      <c r="R1105" s="183"/>
      <c r="S1105" s="183"/>
      <c r="T1105" s="183"/>
      <c r="U1105" s="183"/>
      <c r="V1105" s="183"/>
      <c r="W1105" s="183"/>
      <c r="X1105" s="183"/>
      <c r="Y1105" s="183"/>
      <c r="Z1105" s="183"/>
      <c r="AA1105" s="183"/>
      <c r="AB1105" s="183"/>
      <c r="AC1105" s="183"/>
      <c r="AD1105" s="183"/>
      <c r="AE1105" s="183"/>
      <c r="AF1105" s="183"/>
      <c r="AG1105" s="183"/>
      <c r="AH1105" s="183"/>
      <c r="AI1105" s="183"/>
      <c r="AJ1105" s="183"/>
      <c r="AK1105" s="183"/>
      <c r="AL1105" s="183"/>
      <c r="AM1105" s="183"/>
      <c r="AN1105" s="183"/>
    </row>
    <row r="1106" spans="1:40" ht="13" customHeight="1">
      <c r="A1106" s="183"/>
      <c r="B1106" s="183"/>
      <c r="C1106" s="183"/>
      <c r="D1106" s="183"/>
      <c r="E1106" s="183"/>
      <c r="F1106" s="183"/>
      <c r="G1106" s="183"/>
      <c r="H1106" s="183"/>
      <c r="I1106" s="183"/>
      <c r="J1106" s="183"/>
      <c r="K1106" s="183"/>
      <c r="L1106" s="183"/>
      <c r="M1106" s="183"/>
      <c r="N1106" s="183"/>
      <c r="O1106" s="183"/>
      <c r="P1106" s="183"/>
      <c r="Q1106" s="183"/>
      <c r="R1106" s="183"/>
      <c r="S1106" s="183"/>
      <c r="T1106" s="183"/>
      <c r="U1106" s="183"/>
      <c r="V1106" s="183"/>
      <c r="W1106" s="183"/>
      <c r="X1106" s="183"/>
      <c r="Y1106" s="183"/>
      <c r="Z1106" s="183"/>
      <c r="AA1106" s="183"/>
      <c r="AB1106" s="183"/>
      <c r="AC1106" s="183"/>
      <c r="AD1106" s="183"/>
      <c r="AE1106" s="183"/>
      <c r="AF1106" s="183"/>
      <c r="AG1106" s="183"/>
      <c r="AH1106" s="183"/>
      <c r="AI1106" s="183"/>
      <c r="AJ1106" s="183"/>
      <c r="AK1106" s="183"/>
      <c r="AL1106" s="183"/>
      <c r="AM1106" s="183"/>
      <c r="AN1106" s="183"/>
    </row>
    <row r="1107" spans="1:40" ht="13" customHeight="1">
      <c r="A1107" s="183"/>
      <c r="B1107" s="183"/>
      <c r="C1107" s="183"/>
      <c r="D1107" s="183"/>
      <c r="E1107" s="183"/>
      <c r="F1107" s="183"/>
      <c r="G1107" s="183"/>
      <c r="H1107" s="183"/>
      <c r="I1107" s="183"/>
      <c r="J1107" s="183"/>
      <c r="K1107" s="183"/>
      <c r="L1107" s="183"/>
      <c r="M1107" s="183"/>
      <c r="N1107" s="183"/>
      <c r="O1107" s="183"/>
      <c r="P1107" s="183"/>
      <c r="Q1107" s="183"/>
      <c r="R1107" s="183"/>
      <c r="S1107" s="183"/>
      <c r="T1107" s="183"/>
      <c r="U1107" s="183"/>
      <c r="V1107" s="183"/>
      <c r="W1107" s="183"/>
      <c r="X1107" s="183"/>
      <c r="Y1107" s="183"/>
      <c r="Z1107" s="183"/>
      <c r="AA1107" s="183"/>
      <c r="AB1107" s="183"/>
      <c r="AC1107" s="183"/>
      <c r="AD1107" s="183"/>
      <c r="AE1107" s="183"/>
      <c r="AF1107" s="183"/>
      <c r="AG1107" s="183"/>
      <c r="AH1107" s="183"/>
      <c r="AI1107" s="183"/>
      <c r="AJ1107" s="183"/>
      <c r="AK1107" s="183"/>
      <c r="AL1107" s="183"/>
      <c r="AM1107" s="183"/>
      <c r="AN1107" s="183"/>
    </row>
    <row r="1108" spans="1:40" ht="13" customHeight="1">
      <c r="A1108" s="183"/>
      <c r="B1108" s="183"/>
      <c r="C1108" s="183"/>
      <c r="D1108" s="183"/>
      <c r="E1108" s="183"/>
      <c r="F1108" s="183"/>
      <c r="G1108" s="183"/>
      <c r="H1108" s="183"/>
      <c r="I1108" s="183"/>
      <c r="J1108" s="183"/>
      <c r="K1108" s="183"/>
      <c r="L1108" s="183"/>
      <c r="M1108" s="183"/>
      <c r="N1108" s="183"/>
      <c r="O1108" s="183"/>
      <c r="P1108" s="183"/>
      <c r="Q1108" s="183"/>
      <c r="R1108" s="183"/>
      <c r="S1108" s="183"/>
      <c r="T1108" s="183"/>
      <c r="U1108" s="183"/>
      <c r="V1108" s="183"/>
      <c r="W1108" s="183"/>
      <c r="X1108" s="183"/>
      <c r="Y1108" s="183"/>
      <c r="Z1108" s="183"/>
      <c r="AA1108" s="183"/>
      <c r="AB1108" s="183"/>
      <c r="AC1108" s="183"/>
      <c r="AD1108" s="183"/>
      <c r="AE1108" s="183"/>
      <c r="AF1108" s="183"/>
      <c r="AG1108" s="183"/>
      <c r="AH1108" s="183"/>
      <c r="AI1108" s="183"/>
      <c r="AJ1108" s="183"/>
      <c r="AK1108" s="183"/>
      <c r="AL1108" s="183"/>
      <c r="AM1108" s="183"/>
      <c r="AN1108" s="183"/>
    </row>
    <row r="1109" spans="1:40" ht="13" customHeight="1">
      <c r="A1109" s="183"/>
      <c r="B1109" s="183"/>
      <c r="C1109" s="183"/>
      <c r="D1109" s="183"/>
      <c r="E1109" s="183"/>
      <c r="F1109" s="183"/>
      <c r="G1109" s="183"/>
      <c r="H1109" s="183"/>
      <c r="I1109" s="183"/>
      <c r="J1109" s="183"/>
      <c r="K1109" s="183"/>
      <c r="L1109" s="183"/>
      <c r="M1109" s="183"/>
      <c r="N1109" s="183"/>
      <c r="O1109" s="183"/>
      <c r="P1109" s="183"/>
      <c r="Q1109" s="183"/>
      <c r="R1109" s="183"/>
      <c r="S1109" s="183"/>
      <c r="T1109" s="183"/>
      <c r="U1109" s="183"/>
      <c r="V1109" s="183"/>
      <c r="W1109" s="183"/>
      <c r="X1109" s="183"/>
      <c r="Y1109" s="183"/>
      <c r="Z1109" s="183"/>
      <c r="AA1109" s="183"/>
      <c r="AB1109" s="183"/>
      <c r="AC1109" s="183"/>
      <c r="AD1109" s="183"/>
      <c r="AE1109" s="183"/>
      <c r="AF1109" s="183"/>
      <c r="AG1109" s="183"/>
      <c r="AH1109" s="183"/>
      <c r="AI1109" s="183"/>
      <c r="AJ1109" s="183"/>
      <c r="AK1109" s="183"/>
      <c r="AL1109" s="183"/>
      <c r="AM1109" s="183"/>
      <c r="AN1109" s="183"/>
    </row>
    <row r="1110" spans="1:40" ht="13" customHeight="1">
      <c r="A1110" s="183"/>
      <c r="B1110" s="183"/>
      <c r="C1110" s="183"/>
      <c r="D1110" s="183"/>
      <c r="E1110" s="183"/>
      <c r="F1110" s="183"/>
      <c r="G1110" s="183"/>
      <c r="H1110" s="183"/>
      <c r="I1110" s="183"/>
      <c r="J1110" s="183"/>
      <c r="K1110" s="183"/>
      <c r="L1110" s="183"/>
      <c r="M1110" s="183"/>
      <c r="N1110" s="183"/>
      <c r="O1110" s="183"/>
      <c r="P1110" s="183"/>
      <c r="Q1110" s="183"/>
      <c r="R1110" s="183"/>
      <c r="S1110" s="183"/>
      <c r="T1110" s="183"/>
      <c r="U1110" s="183"/>
      <c r="V1110" s="183"/>
      <c r="W1110" s="183"/>
      <c r="X1110" s="183"/>
      <c r="Y1110" s="183"/>
      <c r="Z1110" s="183"/>
      <c r="AA1110" s="183"/>
      <c r="AB1110" s="183"/>
      <c r="AC1110" s="183"/>
      <c r="AD1110" s="183"/>
      <c r="AE1110" s="183"/>
      <c r="AF1110" s="183"/>
      <c r="AG1110" s="183"/>
      <c r="AH1110" s="183"/>
      <c r="AI1110" s="183"/>
      <c r="AJ1110" s="183"/>
      <c r="AK1110" s="183"/>
      <c r="AL1110" s="183"/>
      <c r="AM1110" s="183"/>
      <c r="AN1110" s="183"/>
    </row>
    <row r="1111" spans="1:40" ht="13" customHeight="1">
      <c r="A1111" s="183"/>
      <c r="B1111" s="183"/>
      <c r="C1111" s="183"/>
      <c r="D1111" s="183"/>
      <c r="E1111" s="183"/>
      <c r="F1111" s="183"/>
      <c r="G1111" s="183"/>
      <c r="H1111" s="183"/>
      <c r="I1111" s="183"/>
      <c r="J1111" s="183"/>
      <c r="K1111" s="183"/>
      <c r="L1111" s="183"/>
      <c r="M1111" s="183"/>
      <c r="N1111" s="183"/>
      <c r="O1111" s="183"/>
      <c r="P1111" s="183"/>
      <c r="Q1111" s="183"/>
      <c r="R1111" s="183"/>
      <c r="S1111" s="183"/>
      <c r="T1111" s="183"/>
      <c r="U1111" s="183"/>
      <c r="V1111" s="183"/>
      <c r="W1111" s="183"/>
      <c r="X1111" s="183"/>
      <c r="Y1111" s="183"/>
      <c r="Z1111" s="183"/>
      <c r="AA1111" s="183"/>
      <c r="AB1111" s="183"/>
      <c r="AC1111" s="183"/>
      <c r="AD1111" s="183"/>
      <c r="AE1111" s="183"/>
      <c r="AF1111" s="183"/>
      <c r="AG1111" s="183"/>
      <c r="AH1111" s="183"/>
      <c r="AI1111" s="183"/>
      <c r="AJ1111" s="183"/>
      <c r="AK1111" s="183"/>
      <c r="AL1111" s="183"/>
      <c r="AM1111" s="183"/>
      <c r="AN1111" s="183"/>
    </row>
    <row r="1112" spans="1:40" ht="13" customHeight="1">
      <c r="A1112" s="183"/>
      <c r="B1112" s="183"/>
      <c r="C1112" s="183"/>
      <c r="D1112" s="183"/>
      <c r="E1112" s="183"/>
      <c r="F1112" s="183"/>
      <c r="G1112" s="183"/>
      <c r="H1112" s="183"/>
      <c r="I1112" s="183"/>
      <c r="J1112" s="183"/>
      <c r="K1112" s="183"/>
      <c r="L1112" s="183"/>
      <c r="M1112" s="183"/>
      <c r="N1112" s="183"/>
      <c r="O1112" s="183"/>
      <c r="P1112" s="183"/>
      <c r="Q1112" s="183"/>
      <c r="R1112" s="183"/>
      <c r="S1112" s="183"/>
      <c r="T1112" s="183"/>
      <c r="U1112" s="183"/>
      <c r="V1112" s="183"/>
      <c r="W1112" s="183"/>
      <c r="X1112" s="183"/>
      <c r="Y1112" s="183"/>
      <c r="Z1112" s="183"/>
      <c r="AA1112" s="183"/>
      <c r="AB1112" s="183"/>
      <c r="AC1112" s="183"/>
      <c r="AD1112" s="183"/>
      <c r="AE1112" s="183"/>
      <c r="AF1112" s="183"/>
      <c r="AG1112" s="183"/>
      <c r="AH1112" s="183"/>
      <c r="AI1112" s="183"/>
      <c r="AJ1112" s="183"/>
      <c r="AK1112" s="183"/>
      <c r="AL1112" s="183"/>
      <c r="AM1112" s="183"/>
      <c r="AN1112" s="183"/>
    </row>
    <row r="1113" spans="1:40" ht="13" customHeight="1">
      <c r="A1113" s="183"/>
      <c r="B1113" s="183"/>
      <c r="C1113" s="183"/>
      <c r="D1113" s="183"/>
      <c r="E1113" s="183"/>
      <c r="F1113" s="183"/>
      <c r="G1113" s="183"/>
      <c r="H1113" s="183"/>
      <c r="I1113" s="183"/>
      <c r="J1113" s="183"/>
      <c r="K1113" s="183"/>
      <c r="L1113" s="183"/>
      <c r="M1113" s="183"/>
      <c r="N1113" s="183"/>
      <c r="O1113" s="183"/>
      <c r="P1113" s="183"/>
      <c r="Q1113" s="183"/>
      <c r="R1113" s="183"/>
      <c r="S1113" s="183"/>
      <c r="T1113" s="183"/>
      <c r="U1113" s="183"/>
      <c r="V1113" s="183"/>
      <c r="W1113" s="183"/>
      <c r="X1113" s="183"/>
      <c r="Y1113" s="183"/>
      <c r="Z1113" s="183"/>
      <c r="AA1113" s="183"/>
      <c r="AB1113" s="183"/>
      <c r="AC1113" s="183"/>
      <c r="AD1113" s="183"/>
      <c r="AE1113" s="183"/>
      <c r="AF1113" s="183"/>
      <c r="AG1113" s="183"/>
      <c r="AH1113" s="183"/>
      <c r="AI1113" s="183"/>
      <c r="AJ1113" s="183"/>
      <c r="AK1113" s="183"/>
      <c r="AL1113" s="183"/>
      <c r="AM1113" s="183"/>
      <c r="AN1113" s="183"/>
    </row>
    <row r="1114" spans="1:40" ht="13" customHeight="1">
      <c r="A1114" s="183"/>
      <c r="B1114" s="183"/>
      <c r="C1114" s="183"/>
      <c r="D1114" s="183"/>
      <c r="E1114" s="183"/>
      <c r="F1114" s="183"/>
      <c r="G1114" s="183"/>
      <c r="H1114" s="183"/>
      <c r="I1114" s="183"/>
      <c r="J1114" s="183"/>
      <c r="K1114" s="183"/>
      <c r="L1114" s="183"/>
      <c r="M1114" s="183"/>
      <c r="N1114" s="183"/>
      <c r="O1114" s="183"/>
      <c r="P1114" s="183"/>
      <c r="Q1114" s="183"/>
      <c r="R1114" s="183"/>
      <c r="S1114" s="183"/>
      <c r="T1114" s="183"/>
      <c r="U1114" s="183"/>
      <c r="V1114" s="183"/>
      <c r="W1114" s="183"/>
      <c r="X1114" s="183"/>
      <c r="Y1114" s="183"/>
      <c r="Z1114" s="183"/>
      <c r="AA1114" s="183"/>
      <c r="AB1114" s="183"/>
      <c r="AC1114" s="183"/>
      <c r="AD1114" s="183"/>
      <c r="AE1114" s="183"/>
      <c r="AF1114" s="183"/>
      <c r="AG1114" s="183"/>
      <c r="AH1114" s="183"/>
      <c r="AI1114" s="183"/>
      <c r="AJ1114" s="183"/>
      <c r="AK1114" s="183"/>
      <c r="AL1114" s="183"/>
      <c r="AM1114" s="183"/>
      <c r="AN1114" s="183"/>
    </row>
    <row r="1115" spans="1:40" ht="13" customHeight="1">
      <c r="A1115" s="183"/>
      <c r="B1115" s="183"/>
      <c r="C1115" s="183"/>
      <c r="D1115" s="183"/>
      <c r="E1115" s="183"/>
      <c r="F1115" s="183"/>
      <c r="G1115" s="183"/>
      <c r="H1115" s="183"/>
      <c r="I1115" s="183"/>
      <c r="J1115" s="183"/>
      <c r="K1115" s="183"/>
      <c r="L1115" s="183"/>
      <c r="M1115" s="183"/>
      <c r="N1115" s="183"/>
      <c r="O1115" s="183"/>
      <c r="P1115" s="183"/>
      <c r="Q1115" s="183"/>
      <c r="R1115" s="183"/>
      <c r="S1115" s="183"/>
      <c r="T1115" s="183"/>
      <c r="U1115" s="183"/>
      <c r="V1115" s="183"/>
      <c r="W1115" s="183"/>
      <c r="X1115" s="183"/>
      <c r="Y1115" s="183"/>
      <c r="Z1115" s="183"/>
      <c r="AA1115" s="183"/>
      <c r="AB1115" s="183"/>
      <c r="AC1115" s="183"/>
      <c r="AD1115" s="183"/>
      <c r="AE1115" s="183"/>
      <c r="AF1115" s="183"/>
      <c r="AG1115" s="183"/>
      <c r="AH1115" s="183"/>
      <c r="AI1115" s="183"/>
      <c r="AJ1115" s="183"/>
      <c r="AK1115" s="183"/>
      <c r="AL1115" s="183"/>
      <c r="AM1115" s="183"/>
      <c r="AN1115" s="183"/>
    </row>
    <row r="1116" spans="1:40" ht="13" customHeight="1">
      <c r="A1116" s="183"/>
      <c r="B1116" s="183"/>
      <c r="C1116" s="183"/>
      <c r="D1116" s="183"/>
      <c r="E1116" s="183"/>
      <c r="F1116" s="183"/>
      <c r="G1116" s="183"/>
      <c r="H1116" s="183"/>
      <c r="I1116" s="183"/>
      <c r="J1116" s="183"/>
      <c r="K1116" s="183"/>
      <c r="L1116" s="183"/>
      <c r="M1116" s="183"/>
      <c r="N1116" s="183"/>
      <c r="O1116" s="183"/>
      <c r="P1116" s="183"/>
      <c r="Q1116" s="183"/>
      <c r="R1116" s="183"/>
      <c r="S1116" s="183"/>
      <c r="T1116" s="183"/>
      <c r="U1116" s="183"/>
      <c r="V1116" s="183"/>
      <c r="W1116" s="183"/>
      <c r="X1116" s="183"/>
      <c r="Y1116" s="183"/>
      <c r="Z1116" s="183"/>
      <c r="AA1116" s="183"/>
      <c r="AB1116" s="183"/>
      <c r="AC1116" s="183"/>
      <c r="AD1116" s="183"/>
      <c r="AE1116" s="183"/>
      <c r="AF1116" s="183"/>
      <c r="AG1116" s="183"/>
      <c r="AH1116" s="183"/>
      <c r="AI1116" s="183"/>
      <c r="AJ1116" s="183"/>
      <c r="AK1116" s="183"/>
      <c r="AL1116" s="183"/>
      <c r="AM1116" s="183"/>
      <c r="AN1116" s="183"/>
    </row>
    <row r="1117" spans="1:40" ht="13" customHeight="1">
      <c r="A1117" s="183"/>
      <c r="B1117" s="183"/>
      <c r="C1117" s="183"/>
      <c r="D1117" s="183"/>
      <c r="E1117" s="183"/>
      <c r="F1117" s="183"/>
      <c r="G1117" s="183"/>
      <c r="H1117" s="183"/>
      <c r="I1117" s="183"/>
      <c r="J1117" s="183"/>
      <c r="K1117" s="183"/>
      <c r="L1117" s="183"/>
      <c r="M1117" s="183"/>
      <c r="N1117" s="183"/>
      <c r="O1117" s="183"/>
      <c r="P1117" s="183"/>
      <c r="Q1117" s="183"/>
      <c r="R1117" s="183"/>
      <c r="S1117" s="183"/>
      <c r="T1117" s="183"/>
      <c r="U1117" s="183"/>
      <c r="V1117" s="183"/>
      <c r="W1117" s="183"/>
      <c r="X1117" s="183"/>
      <c r="Y1117" s="183"/>
      <c r="Z1117" s="183"/>
      <c r="AA1117" s="183"/>
      <c r="AB1117" s="183"/>
      <c r="AC1117" s="183"/>
      <c r="AD1117" s="183"/>
      <c r="AE1117" s="183"/>
      <c r="AF1117" s="183"/>
      <c r="AG1117" s="183"/>
      <c r="AH1117" s="183"/>
      <c r="AI1117" s="183"/>
      <c r="AJ1117" s="183"/>
      <c r="AK1117" s="183"/>
      <c r="AL1117" s="183"/>
      <c r="AM1117" s="183"/>
      <c r="AN1117" s="183"/>
    </row>
    <row r="1118" spans="1:40" ht="13" customHeight="1">
      <c r="A1118" s="183"/>
      <c r="B1118" s="183"/>
      <c r="C1118" s="183"/>
      <c r="D1118" s="183"/>
      <c r="E1118" s="183"/>
      <c r="F1118" s="183"/>
      <c r="G1118" s="183"/>
      <c r="H1118" s="183"/>
      <c r="I1118" s="183"/>
      <c r="J1118" s="183"/>
      <c r="K1118" s="183"/>
      <c r="L1118" s="183"/>
      <c r="M1118" s="183"/>
      <c r="N1118" s="183"/>
      <c r="O1118" s="183"/>
      <c r="P1118" s="183"/>
      <c r="Q1118" s="183"/>
      <c r="R1118" s="183"/>
      <c r="S1118" s="183"/>
      <c r="T1118" s="183"/>
      <c r="U1118" s="183"/>
      <c r="V1118" s="183"/>
      <c r="W1118" s="183"/>
      <c r="X1118" s="183"/>
      <c r="Y1118" s="183"/>
      <c r="Z1118" s="183"/>
      <c r="AA1118" s="183"/>
      <c r="AB1118" s="183"/>
      <c r="AC1118" s="183"/>
      <c r="AD1118" s="183"/>
      <c r="AE1118" s="183"/>
      <c r="AF1118" s="183"/>
      <c r="AG1118" s="183"/>
      <c r="AH1118" s="183"/>
      <c r="AI1118" s="183"/>
      <c r="AJ1118" s="183"/>
      <c r="AK1118" s="183"/>
      <c r="AL1118" s="183"/>
      <c r="AM1118" s="183"/>
      <c r="AN1118" s="183"/>
    </row>
    <row r="1119" spans="1:40" ht="13" customHeight="1">
      <c r="A1119" s="183"/>
      <c r="B1119" s="183"/>
      <c r="C1119" s="183"/>
      <c r="D1119" s="183"/>
      <c r="E1119" s="183"/>
      <c r="F1119" s="183"/>
      <c r="G1119" s="183"/>
      <c r="H1119" s="183"/>
      <c r="I1119" s="183"/>
      <c r="J1119" s="183"/>
      <c r="K1119" s="183"/>
      <c r="L1119" s="183"/>
      <c r="M1119" s="183"/>
      <c r="N1119" s="183"/>
      <c r="O1119" s="183"/>
      <c r="P1119" s="183"/>
      <c r="Q1119" s="183"/>
      <c r="R1119" s="183"/>
      <c r="S1119" s="183"/>
      <c r="T1119" s="183"/>
      <c r="U1119" s="183"/>
      <c r="V1119" s="183"/>
      <c r="W1119" s="183"/>
      <c r="X1119" s="183"/>
      <c r="Y1119" s="183"/>
      <c r="Z1119" s="183"/>
      <c r="AA1119" s="183"/>
      <c r="AB1119" s="183"/>
      <c r="AC1119" s="183"/>
      <c r="AD1119" s="183"/>
      <c r="AE1119" s="183"/>
      <c r="AF1119" s="183"/>
      <c r="AG1119" s="183"/>
      <c r="AH1119" s="183"/>
      <c r="AI1119" s="183"/>
      <c r="AJ1119" s="183"/>
      <c r="AK1119" s="183"/>
      <c r="AL1119" s="183"/>
      <c r="AM1119" s="183"/>
      <c r="AN1119" s="183"/>
    </row>
    <row r="1120" spans="1:40" ht="13" customHeight="1">
      <c r="A1120" s="183"/>
      <c r="B1120" s="183"/>
      <c r="C1120" s="183"/>
      <c r="D1120" s="183"/>
      <c r="E1120" s="183"/>
      <c r="F1120" s="183"/>
      <c r="G1120" s="183"/>
      <c r="H1120" s="183"/>
      <c r="I1120" s="183"/>
      <c r="J1120" s="183"/>
      <c r="K1120" s="183"/>
      <c r="L1120" s="183"/>
      <c r="M1120" s="183"/>
      <c r="N1120" s="183"/>
      <c r="O1120" s="183"/>
      <c r="P1120" s="183"/>
      <c r="Q1120" s="183"/>
      <c r="R1120" s="183"/>
      <c r="S1120" s="183"/>
      <c r="T1120" s="183"/>
      <c r="U1120" s="183"/>
      <c r="V1120" s="183"/>
      <c r="W1120" s="183"/>
      <c r="X1120" s="183"/>
      <c r="Y1120" s="183"/>
      <c r="Z1120" s="183"/>
      <c r="AA1120" s="183"/>
      <c r="AB1120" s="183"/>
      <c r="AC1120" s="183"/>
      <c r="AD1120" s="183"/>
      <c r="AE1120" s="183"/>
      <c r="AF1120" s="183"/>
      <c r="AG1120" s="183"/>
      <c r="AH1120" s="183"/>
      <c r="AI1120" s="183"/>
      <c r="AJ1120" s="183"/>
      <c r="AK1120" s="183"/>
      <c r="AL1120" s="183"/>
      <c r="AM1120" s="183"/>
      <c r="AN1120" s="183"/>
    </row>
    <row r="1121" spans="1:40" ht="13" customHeight="1">
      <c r="A1121" s="183"/>
      <c r="B1121" s="183"/>
      <c r="C1121" s="183"/>
      <c r="D1121" s="183"/>
      <c r="E1121" s="183"/>
      <c r="F1121" s="183"/>
      <c r="G1121" s="183"/>
      <c r="H1121" s="183"/>
      <c r="I1121" s="183"/>
      <c r="J1121" s="183"/>
      <c r="K1121" s="183"/>
      <c r="L1121" s="183"/>
      <c r="M1121" s="183"/>
      <c r="N1121" s="183"/>
      <c r="O1121" s="183"/>
      <c r="P1121" s="183"/>
      <c r="Q1121" s="183"/>
      <c r="R1121" s="183"/>
      <c r="S1121" s="183"/>
      <c r="T1121" s="183"/>
      <c r="U1121" s="183"/>
      <c r="V1121" s="183"/>
      <c r="W1121" s="183"/>
      <c r="X1121" s="183"/>
      <c r="Y1121" s="183"/>
      <c r="Z1121" s="183"/>
      <c r="AA1121" s="183"/>
      <c r="AB1121" s="183"/>
      <c r="AC1121" s="183"/>
      <c r="AD1121" s="183"/>
      <c r="AE1121" s="183"/>
      <c r="AF1121" s="183"/>
      <c r="AG1121" s="183"/>
      <c r="AH1121" s="183"/>
      <c r="AI1121" s="183"/>
      <c r="AJ1121" s="183"/>
      <c r="AK1121" s="183"/>
      <c r="AL1121" s="183"/>
      <c r="AM1121" s="183"/>
      <c r="AN1121" s="183"/>
    </row>
    <row r="1122" spans="1:40" ht="13" customHeight="1">
      <c r="A1122" s="183"/>
      <c r="B1122" s="183"/>
      <c r="C1122" s="183"/>
      <c r="D1122" s="183"/>
      <c r="E1122" s="183"/>
      <c r="F1122" s="183"/>
      <c r="G1122" s="183"/>
      <c r="H1122" s="183"/>
      <c r="I1122" s="183"/>
      <c r="J1122" s="183"/>
      <c r="K1122" s="183"/>
      <c r="L1122" s="183"/>
      <c r="M1122" s="183"/>
      <c r="N1122" s="183"/>
      <c r="O1122" s="183"/>
      <c r="P1122" s="183"/>
      <c r="Q1122" s="183"/>
      <c r="R1122" s="183"/>
      <c r="S1122" s="183"/>
      <c r="T1122" s="183"/>
      <c r="U1122" s="183"/>
      <c r="V1122" s="183"/>
      <c r="W1122" s="183"/>
      <c r="X1122" s="183"/>
      <c r="Y1122" s="183"/>
      <c r="Z1122" s="183"/>
      <c r="AA1122" s="183"/>
      <c r="AB1122" s="183"/>
      <c r="AC1122" s="183"/>
      <c r="AD1122" s="183"/>
      <c r="AE1122" s="183"/>
      <c r="AF1122" s="183"/>
      <c r="AG1122" s="183"/>
      <c r="AH1122" s="183"/>
      <c r="AI1122" s="183"/>
      <c r="AJ1122" s="183"/>
      <c r="AK1122" s="183"/>
      <c r="AL1122" s="183"/>
      <c r="AM1122" s="183"/>
      <c r="AN1122" s="183"/>
    </row>
    <row r="1123" spans="1:40" ht="13" customHeight="1">
      <c r="A1123" s="183"/>
      <c r="B1123" s="183"/>
      <c r="C1123" s="183"/>
      <c r="D1123" s="183"/>
      <c r="E1123" s="183"/>
      <c r="F1123" s="183"/>
      <c r="G1123" s="183"/>
      <c r="H1123" s="183"/>
      <c r="I1123" s="183"/>
      <c r="J1123" s="183"/>
      <c r="K1123" s="183"/>
      <c r="L1123" s="183"/>
      <c r="M1123" s="183"/>
      <c r="N1123" s="183"/>
      <c r="O1123" s="183"/>
      <c r="P1123" s="183"/>
      <c r="Q1123" s="183"/>
      <c r="R1123" s="183"/>
      <c r="S1123" s="183"/>
      <c r="T1123" s="183"/>
      <c r="U1123" s="183"/>
      <c r="V1123" s="183"/>
      <c r="W1123" s="183"/>
      <c r="X1123" s="183"/>
      <c r="Y1123" s="183"/>
      <c r="Z1123" s="183"/>
      <c r="AA1123" s="183"/>
      <c r="AB1123" s="183"/>
      <c r="AC1123" s="183"/>
      <c r="AD1123" s="183"/>
      <c r="AE1123" s="183"/>
      <c r="AF1123" s="183"/>
      <c r="AG1123" s="183"/>
      <c r="AH1123" s="183"/>
      <c r="AI1123" s="183"/>
      <c r="AJ1123" s="183"/>
      <c r="AK1123" s="183"/>
      <c r="AL1123" s="183"/>
      <c r="AM1123" s="183"/>
      <c r="AN1123" s="183"/>
    </row>
    <row r="1124" spans="1:40" ht="13" customHeight="1">
      <c r="A1124" s="183"/>
      <c r="B1124" s="183"/>
      <c r="C1124" s="183"/>
      <c r="D1124" s="183"/>
      <c r="E1124" s="183"/>
      <c r="F1124" s="183"/>
      <c r="G1124" s="183"/>
      <c r="H1124" s="183"/>
      <c r="I1124" s="183"/>
      <c r="J1124" s="183"/>
      <c r="K1124" s="183"/>
      <c r="L1124" s="183"/>
      <c r="M1124" s="183"/>
      <c r="N1124" s="183"/>
      <c r="O1124" s="183"/>
      <c r="P1124" s="183"/>
      <c r="Q1124" s="183"/>
      <c r="R1124" s="183"/>
      <c r="S1124" s="183"/>
      <c r="T1124" s="183"/>
      <c r="U1124" s="183"/>
      <c r="V1124" s="183"/>
      <c r="W1124" s="183"/>
      <c r="X1124" s="183"/>
      <c r="Y1124" s="183"/>
      <c r="Z1124" s="183"/>
      <c r="AA1124" s="183"/>
      <c r="AB1124" s="183"/>
      <c r="AC1124" s="183"/>
      <c r="AD1124" s="183"/>
      <c r="AE1124" s="183"/>
      <c r="AF1124" s="183"/>
      <c r="AG1124" s="183"/>
      <c r="AH1124" s="183"/>
      <c r="AI1124" s="183"/>
      <c r="AJ1124" s="183"/>
      <c r="AK1124" s="183"/>
      <c r="AL1124" s="183"/>
      <c r="AM1124" s="183"/>
      <c r="AN1124" s="183"/>
    </row>
    <row r="1125" spans="1:40" ht="13" customHeight="1">
      <c r="A1125" s="183"/>
      <c r="B1125" s="183"/>
      <c r="C1125" s="183"/>
      <c r="D1125" s="183"/>
      <c r="E1125" s="183"/>
      <c r="F1125" s="183"/>
      <c r="G1125" s="183"/>
      <c r="H1125" s="183"/>
      <c r="I1125" s="183"/>
      <c r="J1125" s="183"/>
      <c r="K1125" s="183"/>
      <c r="L1125" s="183"/>
      <c r="M1125" s="183"/>
      <c r="N1125" s="183"/>
      <c r="O1125" s="183"/>
      <c r="P1125" s="183"/>
      <c r="Q1125" s="183"/>
      <c r="R1125" s="183"/>
      <c r="S1125" s="183"/>
      <c r="T1125" s="183"/>
      <c r="U1125" s="183"/>
      <c r="V1125" s="183"/>
      <c r="W1125" s="183"/>
      <c r="X1125" s="183"/>
      <c r="Y1125" s="183"/>
      <c r="Z1125" s="183"/>
      <c r="AA1125" s="183"/>
      <c r="AB1125" s="183"/>
      <c r="AC1125" s="183"/>
      <c r="AD1125" s="183"/>
      <c r="AE1125" s="183"/>
      <c r="AF1125" s="183"/>
      <c r="AG1125" s="183"/>
      <c r="AH1125" s="183"/>
      <c r="AI1125" s="183"/>
      <c r="AJ1125" s="183"/>
      <c r="AK1125" s="183"/>
      <c r="AL1125" s="183"/>
      <c r="AM1125" s="183"/>
      <c r="AN1125" s="183"/>
    </row>
    <row r="1126" spans="1:40" ht="13" customHeight="1">
      <c r="A1126" s="183"/>
      <c r="B1126" s="183"/>
      <c r="C1126" s="183"/>
      <c r="D1126" s="183"/>
      <c r="E1126" s="183"/>
      <c r="F1126" s="183"/>
      <c r="G1126" s="183"/>
      <c r="H1126" s="183"/>
      <c r="I1126" s="183"/>
      <c r="J1126" s="183"/>
      <c r="K1126" s="183"/>
      <c r="L1126" s="183"/>
      <c r="M1126" s="183"/>
      <c r="N1126" s="183"/>
      <c r="O1126" s="183"/>
      <c r="P1126" s="183"/>
      <c r="Q1126" s="183"/>
      <c r="R1126" s="183"/>
      <c r="S1126" s="183"/>
      <c r="T1126" s="183"/>
      <c r="U1126" s="183"/>
      <c r="V1126" s="183"/>
      <c r="W1126" s="183"/>
      <c r="X1126" s="183"/>
      <c r="Y1126" s="183"/>
      <c r="Z1126" s="183"/>
      <c r="AA1126" s="183"/>
      <c r="AB1126" s="183"/>
      <c r="AC1126" s="183"/>
      <c r="AD1126" s="183"/>
      <c r="AE1126" s="183"/>
      <c r="AF1126" s="183"/>
      <c r="AG1126" s="183"/>
      <c r="AH1126" s="183"/>
      <c r="AI1126" s="183"/>
      <c r="AJ1126" s="183"/>
      <c r="AK1126" s="183"/>
      <c r="AL1126" s="183"/>
      <c r="AM1126" s="183"/>
      <c r="AN1126" s="183"/>
    </row>
    <row r="1127" spans="1:40" ht="13" customHeight="1">
      <c r="A1127" s="183"/>
      <c r="B1127" s="183"/>
      <c r="C1127" s="183"/>
      <c r="D1127" s="183"/>
      <c r="E1127" s="183"/>
      <c r="F1127" s="183"/>
      <c r="G1127" s="183"/>
      <c r="H1127" s="183"/>
      <c r="I1127" s="183"/>
      <c r="J1127" s="183"/>
      <c r="K1127" s="183"/>
      <c r="L1127" s="183"/>
      <c r="M1127" s="183"/>
      <c r="N1127" s="183"/>
      <c r="O1127" s="183"/>
      <c r="P1127" s="183"/>
      <c r="Q1127" s="183"/>
      <c r="R1127" s="183"/>
      <c r="S1127" s="183"/>
      <c r="T1127" s="183"/>
      <c r="U1127" s="183"/>
      <c r="V1127" s="183"/>
      <c r="W1127" s="183"/>
      <c r="X1127" s="183"/>
      <c r="Y1127" s="183"/>
      <c r="Z1127" s="183"/>
      <c r="AA1127" s="183"/>
      <c r="AB1127" s="183"/>
      <c r="AC1127" s="183"/>
      <c r="AD1127" s="183"/>
      <c r="AE1127" s="183"/>
      <c r="AF1127" s="183"/>
      <c r="AG1127" s="183"/>
      <c r="AH1127" s="183"/>
      <c r="AI1127" s="183"/>
      <c r="AJ1127" s="183"/>
      <c r="AK1127" s="183"/>
      <c r="AL1127" s="183"/>
      <c r="AM1127" s="183"/>
      <c r="AN1127" s="183"/>
    </row>
    <row r="1128" spans="1:40" ht="13" customHeight="1">
      <c r="A1128" s="183"/>
      <c r="B1128" s="183"/>
      <c r="C1128" s="183"/>
      <c r="D1128" s="183"/>
      <c r="E1128" s="183"/>
      <c r="F1128" s="183"/>
      <c r="G1128" s="183"/>
      <c r="H1128" s="183"/>
      <c r="I1128" s="183"/>
      <c r="J1128" s="183"/>
      <c r="K1128" s="183"/>
      <c r="L1128" s="183"/>
      <c r="M1128" s="183"/>
      <c r="N1128" s="183"/>
      <c r="O1128" s="183"/>
      <c r="P1128" s="183"/>
      <c r="Q1128" s="183"/>
      <c r="R1128" s="183"/>
      <c r="S1128" s="183"/>
      <c r="T1128" s="183"/>
      <c r="U1128" s="183"/>
      <c r="V1128" s="183"/>
      <c r="W1128" s="183"/>
      <c r="X1128" s="183"/>
      <c r="Y1128" s="183"/>
      <c r="Z1128" s="183"/>
      <c r="AA1128" s="183"/>
      <c r="AB1128" s="183"/>
      <c r="AC1128" s="183"/>
      <c r="AD1128" s="183"/>
      <c r="AE1128" s="183"/>
      <c r="AF1128" s="183"/>
      <c r="AG1128" s="183"/>
      <c r="AH1128" s="183"/>
      <c r="AI1128" s="183"/>
      <c r="AJ1128" s="183"/>
      <c r="AK1128" s="183"/>
      <c r="AL1128" s="183"/>
      <c r="AM1128" s="183"/>
      <c r="AN1128" s="183"/>
    </row>
    <row r="1129" spans="1:40" ht="13" customHeight="1">
      <c r="A1129" s="183"/>
      <c r="B1129" s="183"/>
      <c r="C1129" s="183"/>
      <c r="D1129" s="183"/>
      <c r="E1129" s="183"/>
      <c r="F1129" s="183"/>
      <c r="G1129" s="183"/>
      <c r="H1129" s="183"/>
      <c r="I1129" s="183"/>
      <c r="J1129" s="183"/>
      <c r="K1129" s="183"/>
      <c r="L1129" s="183"/>
      <c r="M1129" s="183"/>
      <c r="N1129" s="183"/>
      <c r="O1129" s="183"/>
      <c r="P1129" s="183"/>
      <c r="Q1129" s="183"/>
      <c r="R1129" s="183"/>
      <c r="S1129" s="183"/>
      <c r="T1129" s="183"/>
      <c r="U1129" s="183"/>
      <c r="V1129" s="183"/>
      <c r="W1129" s="183"/>
      <c r="X1129" s="183"/>
      <c r="Y1129" s="183"/>
      <c r="Z1129" s="183"/>
      <c r="AA1129" s="183"/>
      <c r="AB1129" s="183"/>
      <c r="AC1129" s="183"/>
      <c r="AD1129" s="183"/>
      <c r="AE1129" s="183"/>
      <c r="AF1129" s="183"/>
      <c r="AG1129" s="183"/>
      <c r="AH1129" s="183"/>
      <c r="AI1129" s="183"/>
      <c r="AJ1129" s="183"/>
      <c r="AK1129" s="183"/>
      <c r="AL1129" s="183"/>
      <c r="AM1129" s="183"/>
      <c r="AN1129" s="183"/>
    </row>
    <row r="1130" spans="1:40" ht="13" customHeight="1">
      <c r="A1130" s="183"/>
      <c r="B1130" s="183"/>
      <c r="C1130" s="183"/>
      <c r="D1130" s="183"/>
      <c r="E1130" s="183"/>
      <c r="F1130" s="183"/>
      <c r="G1130" s="183"/>
      <c r="H1130" s="183"/>
      <c r="I1130" s="183"/>
      <c r="J1130" s="183"/>
      <c r="K1130" s="183"/>
      <c r="L1130" s="183"/>
      <c r="M1130" s="183"/>
      <c r="N1130" s="183"/>
      <c r="O1130" s="183"/>
      <c r="P1130" s="183"/>
      <c r="Q1130" s="183"/>
      <c r="R1130" s="183"/>
      <c r="S1130" s="183"/>
      <c r="T1130" s="183"/>
      <c r="U1130" s="183"/>
      <c r="V1130" s="183"/>
      <c r="W1130" s="183"/>
      <c r="X1130" s="183"/>
      <c r="Y1130" s="183"/>
      <c r="Z1130" s="183"/>
      <c r="AA1130" s="183"/>
      <c r="AB1130" s="183"/>
      <c r="AC1130" s="183"/>
      <c r="AD1130" s="183"/>
      <c r="AE1130" s="183"/>
      <c r="AF1130" s="183"/>
      <c r="AG1130" s="183"/>
      <c r="AH1130" s="183"/>
      <c r="AI1130" s="183"/>
      <c r="AJ1130" s="183"/>
      <c r="AK1130" s="183"/>
      <c r="AL1130" s="183"/>
      <c r="AM1130" s="183"/>
      <c r="AN1130" s="183"/>
    </row>
    <row r="1131" spans="1:40" ht="13" customHeight="1">
      <c r="A1131" s="183"/>
      <c r="B1131" s="183"/>
      <c r="C1131" s="183"/>
      <c r="D1131" s="183"/>
      <c r="E1131" s="183"/>
      <c r="F1131" s="183"/>
      <c r="G1131" s="183"/>
      <c r="H1131" s="183"/>
      <c r="I1131" s="183"/>
      <c r="J1131" s="183"/>
      <c r="K1131" s="183"/>
      <c r="L1131" s="183"/>
      <c r="M1131" s="183"/>
      <c r="N1131" s="183"/>
      <c r="O1131" s="183"/>
      <c r="P1131" s="183"/>
      <c r="Q1131" s="183"/>
      <c r="R1131" s="183"/>
      <c r="S1131" s="183"/>
      <c r="T1131" s="183"/>
      <c r="U1131" s="183"/>
      <c r="V1131" s="183"/>
      <c r="W1131" s="183"/>
      <c r="X1131" s="183"/>
      <c r="Y1131" s="183"/>
      <c r="Z1131" s="183"/>
      <c r="AA1131" s="183"/>
      <c r="AB1131" s="183"/>
      <c r="AC1131" s="183"/>
      <c r="AD1131" s="183"/>
      <c r="AE1131" s="183"/>
      <c r="AF1131" s="183"/>
      <c r="AG1131" s="183"/>
      <c r="AH1131" s="183"/>
      <c r="AI1131" s="183"/>
      <c r="AJ1131" s="183"/>
      <c r="AK1131" s="183"/>
      <c r="AL1131" s="183"/>
      <c r="AM1131" s="183"/>
      <c r="AN1131" s="183"/>
    </row>
    <row r="1132" spans="1:40" ht="13" customHeight="1">
      <c r="A1132" s="183"/>
      <c r="B1132" s="183"/>
      <c r="C1132" s="183"/>
      <c r="D1132" s="183"/>
      <c r="E1132" s="183"/>
      <c r="F1132" s="183"/>
      <c r="G1132" s="183"/>
      <c r="H1132" s="183"/>
      <c r="I1132" s="183"/>
      <c r="J1132" s="183"/>
      <c r="K1132" s="183"/>
      <c r="L1132" s="183"/>
      <c r="M1132" s="183"/>
      <c r="N1132" s="183"/>
      <c r="O1132" s="183"/>
      <c r="P1132" s="183"/>
      <c r="Q1132" s="183"/>
      <c r="R1132" s="183"/>
      <c r="S1132" s="183"/>
      <c r="T1132" s="183"/>
      <c r="U1132" s="183"/>
      <c r="V1132" s="183"/>
      <c r="W1132" s="183"/>
      <c r="X1132" s="183"/>
      <c r="Y1132" s="183"/>
      <c r="Z1132" s="183"/>
      <c r="AA1132" s="183"/>
      <c r="AB1132" s="183"/>
      <c r="AC1132" s="183"/>
      <c r="AD1132" s="183"/>
      <c r="AE1132" s="183"/>
      <c r="AF1132" s="183"/>
      <c r="AG1132" s="183"/>
      <c r="AH1132" s="183"/>
      <c r="AI1132" s="183"/>
      <c r="AJ1132" s="183"/>
      <c r="AK1132" s="183"/>
      <c r="AL1132" s="183"/>
      <c r="AM1132" s="183"/>
      <c r="AN1132" s="183"/>
    </row>
    <row r="1133" spans="1:40" ht="13" customHeight="1">
      <c r="A1133" s="183"/>
      <c r="B1133" s="183"/>
      <c r="C1133" s="183"/>
      <c r="D1133" s="183"/>
      <c r="E1133" s="183"/>
      <c r="F1133" s="183"/>
      <c r="G1133" s="183"/>
      <c r="H1133" s="183"/>
      <c r="I1133" s="183"/>
      <c r="J1133" s="183"/>
      <c r="K1133" s="183"/>
      <c r="L1133" s="183"/>
      <c r="M1133" s="183"/>
      <c r="N1133" s="183"/>
      <c r="O1133" s="183"/>
      <c r="P1133" s="183"/>
      <c r="Q1133" s="183"/>
      <c r="R1133" s="183"/>
      <c r="S1133" s="183"/>
      <c r="T1133" s="183"/>
      <c r="U1133" s="183"/>
      <c r="V1133" s="183"/>
      <c r="W1133" s="183"/>
      <c r="X1133" s="183"/>
      <c r="Y1133" s="183"/>
      <c r="Z1133" s="183"/>
      <c r="AA1133" s="183"/>
      <c r="AB1133" s="183"/>
      <c r="AC1133" s="183"/>
      <c r="AD1133" s="183"/>
      <c r="AE1133" s="183"/>
      <c r="AF1133" s="183"/>
      <c r="AG1133" s="183"/>
      <c r="AH1133" s="183"/>
      <c r="AI1133" s="183"/>
      <c r="AJ1133" s="183"/>
      <c r="AK1133" s="183"/>
      <c r="AL1133" s="183"/>
      <c r="AM1133" s="183"/>
      <c r="AN1133" s="183"/>
    </row>
    <row r="1134" spans="1:40" ht="13" customHeight="1">
      <c r="A1134" s="183"/>
      <c r="B1134" s="183"/>
      <c r="C1134" s="183"/>
      <c r="D1134" s="183"/>
      <c r="E1134" s="183"/>
      <c r="F1134" s="183"/>
      <c r="G1134" s="183"/>
      <c r="H1134" s="183"/>
      <c r="I1134" s="183"/>
      <c r="J1134" s="183"/>
      <c r="K1134" s="183"/>
      <c r="L1134" s="183"/>
      <c r="M1134" s="183"/>
      <c r="N1134" s="183"/>
      <c r="O1134" s="183"/>
      <c r="P1134" s="183"/>
      <c r="Q1134" s="183"/>
      <c r="R1134" s="183"/>
      <c r="S1134" s="183"/>
      <c r="T1134" s="183"/>
      <c r="U1134" s="183"/>
      <c r="V1134" s="183"/>
      <c r="W1134" s="183"/>
      <c r="X1134" s="183"/>
      <c r="Y1134" s="183"/>
      <c r="Z1134" s="183"/>
      <c r="AA1134" s="183"/>
      <c r="AB1134" s="183"/>
      <c r="AC1134" s="183"/>
      <c r="AD1134" s="183"/>
      <c r="AE1134" s="183"/>
      <c r="AF1134" s="183"/>
      <c r="AG1134" s="183"/>
      <c r="AH1134" s="183"/>
      <c r="AI1134" s="183"/>
      <c r="AJ1134" s="183"/>
      <c r="AK1134" s="183"/>
      <c r="AL1134" s="183"/>
      <c r="AM1134" s="183"/>
      <c r="AN1134" s="183"/>
    </row>
    <row r="1135" spans="1:40" ht="13" customHeight="1">
      <c r="A1135" s="183"/>
      <c r="B1135" s="183"/>
      <c r="C1135" s="183"/>
      <c r="D1135" s="183"/>
      <c r="E1135" s="183"/>
      <c r="F1135" s="183"/>
      <c r="G1135" s="183"/>
      <c r="H1135" s="183"/>
      <c r="I1135" s="183"/>
      <c r="J1135" s="183"/>
      <c r="K1135" s="183"/>
      <c r="L1135" s="183"/>
      <c r="M1135" s="183"/>
      <c r="N1135" s="183"/>
      <c r="O1135" s="183"/>
      <c r="P1135" s="183"/>
      <c r="Q1135" s="183"/>
      <c r="R1135" s="183"/>
      <c r="S1135" s="183"/>
      <c r="T1135" s="183"/>
      <c r="U1135" s="183"/>
      <c r="V1135" s="183"/>
      <c r="W1135" s="183"/>
      <c r="X1135" s="183"/>
      <c r="Y1135" s="183"/>
      <c r="Z1135" s="183"/>
      <c r="AA1135" s="183"/>
      <c r="AB1135" s="183"/>
      <c r="AC1135" s="183"/>
      <c r="AD1135" s="183"/>
      <c r="AE1135" s="183"/>
      <c r="AF1135" s="183"/>
      <c r="AG1135" s="183"/>
      <c r="AH1135" s="183"/>
      <c r="AI1135" s="183"/>
      <c r="AJ1135" s="183"/>
      <c r="AK1135" s="183"/>
      <c r="AL1135" s="183"/>
      <c r="AM1135" s="183"/>
      <c r="AN1135" s="183"/>
    </row>
    <row r="1136" spans="1:40" ht="13" customHeight="1">
      <c r="A1136" s="183"/>
      <c r="B1136" s="183"/>
      <c r="C1136" s="183"/>
      <c r="D1136" s="183"/>
      <c r="E1136" s="183"/>
      <c r="F1136" s="183"/>
      <c r="G1136" s="183"/>
      <c r="H1136" s="183"/>
      <c r="I1136" s="183"/>
      <c r="J1136" s="183"/>
      <c r="K1136" s="183"/>
      <c r="L1136" s="183"/>
      <c r="M1136" s="183"/>
      <c r="N1136" s="183"/>
      <c r="O1136" s="183"/>
      <c r="P1136" s="183"/>
      <c r="Q1136" s="183"/>
      <c r="R1136" s="183"/>
      <c r="S1136" s="183"/>
      <c r="T1136" s="183"/>
      <c r="U1136" s="183"/>
      <c r="V1136" s="183"/>
      <c r="W1136" s="183"/>
      <c r="X1136" s="183"/>
      <c r="Y1136" s="183"/>
      <c r="Z1136" s="183"/>
      <c r="AA1136" s="183"/>
      <c r="AB1136" s="183"/>
      <c r="AC1136" s="183"/>
      <c r="AD1136" s="183"/>
      <c r="AE1136" s="183"/>
      <c r="AF1136" s="183"/>
      <c r="AG1136" s="183"/>
      <c r="AH1136" s="183"/>
      <c r="AI1136" s="183"/>
      <c r="AJ1136" s="183"/>
      <c r="AK1136" s="183"/>
      <c r="AL1136" s="183"/>
      <c r="AM1136" s="183"/>
      <c r="AN1136" s="183"/>
    </row>
    <row r="1137" spans="1:40" ht="13" customHeight="1">
      <c r="A1137" s="183"/>
      <c r="B1137" s="183"/>
      <c r="C1137" s="183"/>
      <c r="D1137" s="183"/>
      <c r="E1137" s="183"/>
      <c r="F1137" s="183"/>
      <c r="G1137" s="183"/>
      <c r="H1137" s="183"/>
      <c r="I1137" s="183"/>
      <c r="J1137" s="183"/>
      <c r="K1137" s="183"/>
      <c r="L1137" s="183"/>
      <c r="M1137" s="183"/>
      <c r="N1137" s="183"/>
      <c r="O1137" s="183"/>
      <c r="P1137" s="183"/>
      <c r="Q1137" s="183"/>
      <c r="R1137" s="183"/>
      <c r="S1137" s="183"/>
      <c r="T1137" s="183"/>
      <c r="U1137" s="183"/>
      <c r="V1137" s="183"/>
      <c r="W1137" s="183"/>
      <c r="X1137" s="183"/>
      <c r="Y1137" s="183"/>
      <c r="Z1137" s="183"/>
      <c r="AA1137" s="183"/>
      <c r="AB1137" s="183"/>
      <c r="AC1137" s="183"/>
      <c r="AD1137" s="183"/>
      <c r="AE1137" s="183"/>
      <c r="AF1137" s="183"/>
      <c r="AG1137" s="183"/>
      <c r="AH1137" s="183"/>
      <c r="AI1137" s="183"/>
      <c r="AJ1137" s="183"/>
      <c r="AK1137" s="183"/>
      <c r="AL1137" s="183"/>
      <c r="AM1137" s="183"/>
      <c r="AN1137" s="183"/>
    </row>
    <row r="1138" spans="1:40" ht="13" customHeight="1">
      <c r="A1138" s="183"/>
      <c r="B1138" s="183"/>
      <c r="C1138" s="183"/>
      <c r="D1138" s="183"/>
      <c r="E1138" s="183"/>
      <c r="F1138" s="183"/>
      <c r="G1138" s="183"/>
      <c r="H1138" s="183"/>
      <c r="I1138" s="183"/>
      <c r="J1138" s="183"/>
      <c r="K1138" s="183"/>
      <c r="L1138" s="183"/>
      <c r="M1138" s="183"/>
      <c r="N1138" s="183"/>
      <c r="O1138" s="183"/>
      <c r="P1138" s="183"/>
      <c r="Q1138" s="183"/>
      <c r="R1138" s="183"/>
      <c r="S1138" s="183"/>
      <c r="T1138" s="183"/>
      <c r="U1138" s="183"/>
      <c r="V1138" s="183"/>
      <c r="W1138" s="183"/>
      <c r="X1138" s="183"/>
      <c r="Y1138" s="183"/>
      <c r="Z1138" s="183"/>
      <c r="AA1138" s="183"/>
      <c r="AB1138" s="183"/>
      <c r="AC1138" s="183"/>
      <c r="AD1138" s="183"/>
      <c r="AE1138" s="183"/>
      <c r="AF1138" s="183"/>
      <c r="AG1138" s="183"/>
      <c r="AH1138" s="183"/>
      <c r="AI1138" s="183"/>
      <c r="AJ1138" s="183"/>
      <c r="AK1138" s="183"/>
      <c r="AL1138" s="183"/>
      <c r="AM1138" s="183"/>
      <c r="AN1138" s="183"/>
    </row>
    <row r="1139" spans="1:40" ht="13" customHeight="1">
      <c r="A1139" s="183"/>
      <c r="B1139" s="183"/>
      <c r="C1139" s="183"/>
      <c r="D1139" s="183"/>
      <c r="E1139" s="183"/>
      <c r="F1139" s="183"/>
      <c r="G1139" s="183"/>
      <c r="H1139" s="183"/>
      <c r="I1139" s="183"/>
      <c r="J1139" s="183"/>
      <c r="K1139" s="183"/>
      <c r="L1139" s="183"/>
      <c r="M1139" s="183"/>
      <c r="N1139" s="183"/>
      <c r="O1139" s="183"/>
      <c r="P1139" s="183"/>
      <c r="Q1139" s="183"/>
      <c r="R1139" s="183"/>
      <c r="S1139" s="183"/>
      <c r="T1139" s="183"/>
      <c r="U1139" s="183"/>
      <c r="V1139" s="183"/>
      <c r="W1139" s="183"/>
      <c r="X1139" s="183"/>
      <c r="Y1139" s="183"/>
      <c r="Z1139" s="183"/>
      <c r="AA1139" s="183"/>
      <c r="AB1139" s="183"/>
      <c r="AC1139" s="183"/>
      <c r="AD1139" s="183"/>
      <c r="AE1139" s="183"/>
      <c r="AF1139" s="183"/>
      <c r="AG1139" s="183"/>
      <c r="AH1139" s="183"/>
      <c r="AI1139" s="183"/>
      <c r="AJ1139" s="183"/>
      <c r="AK1139" s="183"/>
      <c r="AL1139" s="183"/>
      <c r="AM1139" s="183"/>
      <c r="AN1139" s="183"/>
    </row>
    <row r="1140" spans="1:40" ht="13" customHeight="1">
      <c r="A1140" s="183"/>
      <c r="B1140" s="183"/>
      <c r="C1140" s="183"/>
      <c r="D1140" s="183"/>
      <c r="E1140" s="183"/>
      <c r="F1140" s="183"/>
      <c r="G1140" s="183"/>
      <c r="H1140" s="183"/>
      <c r="I1140" s="183"/>
      <c r="J1140" s="183"/>
      <c r="K1140" s="183"/>
      <c r="L1140" s="183"/>
      <c r="M1140" s="183"/>
      <c r="N1140" s="183"/>
      <c r="O1140" s="183"/>
      <c r="P1140" s="183"/>
      <c r="Q1140" s="183"/>
      <c r="R1140" s="183"/>
      <c r="S1140" s="183"/>
      <c r="T1140" s="183"/>
      <c r="U1140" s="183"/>
      <c r="V1140" s="183"/>
      <c r="W1140" s="183"/>
      <c r="X1140" s="183"/>
      <c r="Y1140" s="183"/>
      <c r="Z1140" s="183"/>
      <c r="AA1140" s="183"/>
      <c r="AB1140" s="183"/>
      <c r="AC1140" s="183"/>
      <c r="AD1140" s="183"/>
      <c r="AE1140" s="183"/>
      <c r="AF1140" s="183"/>
      <c r="AG1140" s="183"/>
      <c r="AH1140" s="183"/>
      <c r="AI1140" s="183"/>
      <c r="AJ1140" s="183"/>
      <c r="AK1140" s="183"/>
      <c r="AL1140" s="183"/>
      <c r="AM1140" s="183"/>
      <c r="AN1140" s="183"/>
    </row>
    <row r="1141" spans="1:40" ht="13" customHeight="1">
      <c r="A1141" s="183"/>
      <c r="B1141" s="183"/>
      <c r="C1141" s="183"/>
      <c r="D1141" s="183"/>
      <c r="E1141" s="183"/>
      <c r="F1141" s="183"/>
      <c r="G1141" s="183"/>
      <c r="H1141" s="183"/>
      <c r="I1141" s="183"/>
      <c r="J1141" s="183"/>
      <c r="K1141" s="183"/>
      <c r="L1141" s="183"/>
      <c r="M1141" s="183"/>
      <c r="N1141" s="183"/>
      <c r="O1141" s="183"/>
      <c r="P1141" s="183"/>
      <c r="Q1141" s="183"/>
      <c r="R1141" s="183"/>
      <c r="S1141" s="183"/>
      <c r="T1141" s="183"/>
      <c r="U1141" s="183"/>
      <c r="V1141" s="183"/>
      <c r="W1141" s="183"/>
      <c r="X1141" s="183"/>
      <c r="Y1141" s="183"/>
      <c r="Z1141" s="183"/>
      <c r="AA1141" s="183"/>
      <c r="AB1141" s="183"/>
      <c r="AC1141" s="183"/>
      <c r="AD1141" s="183"/>
      <c r="AE1141" s="183"/>
      <c r="AF1141" s="183"/>
      <c r="AG1141" s="183"/>
      <c r="AH1141" s="183"/>
      <c r="AI1141" s="183"/>
      <c r="AJ1141" s="183"/>
      <c r="AK1141" s="183"/>
      <c r="AL1141" s="183"/>
      <c r="AM1141" s="183"/>
      <c r="AN1141" s="183"/>
    </row>
    <row r="1142" spans="1:40" ht="13" customHeight="1">
      <c r="A1142" s="183"/>
      <c r="B1142" s="183"/>
      <c r="C1142" s="183"/>
      <c r="D1142" s="183"/>
      <c r="E1142" s="183"/>
      <c r="F1142" s="183"/>
      <c r="G1142" s="183"/>
      <c r="H1142" s="183"/>
      <c r="I1142" s="183"/>
      <c r="J1142" s="183"/>
      <c r="K1142" s="183"/>
      <c r="L1142" s="183"/>
      <c r="M1142" s="183"/>
      <c r="N1142" s="183"/>
      <c r="O1142" s="183"/>
      <c r="P1142" s="183"/>
      <c r="Q1142" s="183"/>
      <c r="R1142" s="183"/>
      <c r="S1142" s="183"/>
      <c r="T1142" s="183"/>
      <c r="U1142" s="183"/>
      <c r="V1142" s="183"/>
      <c r="W1142" s="183"/>
      <c r="X1142" s="183"/>
      <c r="Y1142" s="183"/>
      <c r="Z1142" s="183"/>
      <c r="AA1142" s="183"/>
      <c r="AB1142" s="183"/>
      <c r="AC1142" s="183"/>
      <c r="AD1142" s="183"/>
      <c r="AE1142" s="183"/>
      <c r="AF1142" s="183"/>
      <c r="AG1142" s="183"/>
      <c r="AH1142" s="183"/>
      <c r="AI1142" s="183"/>
      <c r="AJ1142" s="183"/>
      <c r="AK1142" s="183"/>
      <c r="AL1142" s="183"/>
      <c r="AM1142" s="183"/>
      <c r="AN1142" s="183"/>
    </row>
    <row r="1143" spans="1:40" ht="13" customHeight="1">
      <c r="A1143" s="183"/>
      <c r="B1143" s="183"/>
      <c r="C1143" s="183"/>
      <c r="D1143" s="183"/>
      <c r="E1143" s="183"/>
      <c r="F1143" s="183"/>
      <c r="G1143" s="183"/>
      <c r="H1143" s="183"/>
      <c r="I1143" s="183"/>
      <c r="J1143" s="183"/>
      <c r="K1143" s="183"/>
      <c r="L1143" s="183"/>
      <c r="M1143" s="183"/>
      <c r="N1143" s="183"/>
      <c r="O1143" s="183"/>
      <c r="P1143" s="183"/>
      <c r="Q1143" s="183"/>
      <c r="R1143" s="183"/>
      <c r="S1143" s="183"/>
      <c r="T1143" s="183"/>
      <c r="U1143" s="183"/>
      <c r="V1143" s="183"/>
      <c r="W1143" s="183"/>
      <c r="X1143" s="183"/>
      <c r="Y1143" s="183"/>
      <c r="Z1143" s="183"/>
      <c r="AA1143" s="183"/>
      <c r="AB1143" s="183"/>
      <c r="AC1143" s="183"/>
      <c r="AD1143" s="183"/>
      <c r="AE1143" s="183"/>
      <c r="AF1143" s="183"/>
      <c r="AG1143" s="183"/>
      <c r="AH1143" s="183"/>
      <c r="AI1143" s="183"/>
      <c r="AJ1143" s="183"/>
      <c r="AK1143" s="183"/>
      <c r="AL1143" s="183"/>
      <c r="AM1143" s="183"/>
      <c r="AN1143" s="183"/>
    </row>
    <row r="1144" spans="1:40" ht="13" customHeight="1">
      <c r="A1144" s="183"/>
      <c r="B1144" s="183"/>
      <c r="C1144" s="183"/>
      <c r="D1144" s="183"/>
      <c r="E1144" s="183"/>
      <c r="F1144" s="183"/>
      <c r="G1144" s="183"/>
      <c r="H1144" s="183"/>
      <c r="I1144" s="183"/>
      <c r="J1144" s="183"/>
      <c r="K1144" s="183"/>
      <c r="L1144" s="183"/>
      <c r="M1144" s="183"/>
      <c r="N1144" s="183"/>
      <c r="O1144" s="183"/>
      <c r="P1144" s="183"/>
      <c r="Q1144" s="183"/>
      <c r="R1144" s="183"/>
      <c r="S1144" s="183"/>
      <c r="T1144" s="183"/>
      <c r="U1144" s="183"/>
      <c r="V1144" s="183"/>
      <c r="W1144" s="183"/>
      <c r="X1144" s="183"/>
      <c r="Y1144" s="183"/>
      <c r="Z1144" s="183"/>
      <c r="AA1144" s="183"/>
      <c r="AB1144" s="183"/>
      <c r="AC1144" s="183"/>
      <c r="AD1144" s="183"/>
      <c r="AE1144" s="183"/>
      <c r="AF1144" s="183"/>
      <c r="AG1144" s="183"/>
      <c r="AH1144" s="183"/>
      <c r="AI1144" s="183"/>
      <c r="AJ1144" s="183"/>
      <c r="AK1144" s="183"/>
      <c r="AL1144" s="183"/>
      <c r="AM1144" s="183"/>
      <c r="AN1144" s="183"/>
    </row>
    <row r="1145" spans="1:40" ht="13" customHeight="1">
      <c r="A1145" s="183"/>
      <c r="B1145" s="183"/>
      <c r="C1145" s="183"/>
      <c r="D1145" s="183"/>
      <c r="E1145" s="183"/>
      <c r="F1145" s="183"/>
      <c r="G1145" s="183"/>
      <c r="H1145" s="183"/>
      <c r="I1145" s="183"/>
      <c r="J1145" s="183"/>
      <c r="K1145" s="183"/>
      <c r="L1145" s="183"/>
      <c r="M1145" s="183"/>
      <c r="N1145" s="183"/>
      <c r="O1145" s="183"/>
      <c r="P1145" s="183"/>
      <c r="Q1145" s="183"/>
      <c r="R1145" s="183"/>
      <c r="S1145" s="183"/>
      <c r="T1145" s="183"/>
      <c r="U1145" s="183"/>
      <c r="V1145" s="183"/>
      <c r="W1145" s="183"/>
      <c r="X1145" s="183"/>
      <c r="Y1145" s="183"/>
      <c r="Z1145" s="183"/>
      <c r="AA1145" s="183"/>
      <c r="AB1145" s="183"/>
      <c r="AC1145" s="183"/>
      <c r="AD1145" s="183"/>
      <c r="AE1145" s="183"/>
      <c r="AF1145" s="183"/>
      <c r="AG1145" s="183"/>
      <c r="AH1145" s="183"/>
      <c r="AI1145" s="183"/>
      <c r="AJ1145" s="183"/>
      <c r="AK1145" s="183"/>
      <c r="AL1145" s="183"/>
      <c r="AM1145" s="183"/>
      <c r="AN1145" s="183"/>
    </row>
    <row r="1146" spans="1:40" ht="13" customHeight="1">
      <c r="A1146" s="183"/>
      <c r="B1146" s="183"/>
      <c r="C1146" s="183"/>
      <c r="D1146" s="183"/>
      <c r="E1146" s="183"/>
      <c r="F1146" s="183"/>
      <c r="G1146" s="183"/>
      <c r="H1146" s="183"/>
      <c r="I1146" s="183"/>
      <c r="J1146" s="183"/>
      <c r="K1146" s="183"/>
      <c r="L1146" s="183"/>
      <c r="M1146" s="183"/>
      <c r="N1146" s="183"/>
      <c r="O1146" s="183"/>
      <c r="P1146" s="183"/>
      <c r="Q1146" s="183"/>
      <c r="R1146" s="183"/>
      <c r="S1146" s="183"/>
      <c r="T1146" s="183"/>
      <c r="U1146" s="183"/>
      <c r="V1146" s="183"/>
      <c r="W1146" s="183"/>
      <c r="X1146" s="183"/>
      <c r="Y1146" s="183"/>
      <c r="Z1146" s="183"/>
      <c r="AA1146" s="183"/>
      <c r="AB1146" s="183"/>
      <c r="AC1146" s="183"/>
      <c r="AD1146" s="183"/>
      <c r="AE1146" s="183"/>
      <c r="AF1146" s="183"/>
      <c r="AG1146" s="183"/>
      <c r="AH1146" s="183"/>
      <c r="AI1146" s="183"/>
      <c r="AJ1146" s="183"/>
      <c r="AK1146" s="183"/>
      <c r="AL1146" s="183"/>
      <c r="AM1146" s="183"/>
      <c r="AN1146" s="183"/>
    </row>
    <row r="1147" spans="1:40" ht="13" customHeight="1">
      <c r="A1147" s="183"/>
      <c r="B1147" s="183"/>
      <c r="C1147" s="183"/>
      <c r="D1147" s="183"/>
      <c r="E1147" s="183"/>
      <c r="F1147" s="183"/>
      <c r="G1147" s="183"/>
      <c r="H1147" s="183"/>
      <c r="I1147" s="183"/>
      <c r="J1147" s="183"/>
      <c r="K1147" s="183"/>
      <c r="L1147" s="183"/>
      <c r="M1147" s="183"/>
      <c r="N1147" s="183"/>
      <c r="O1147" s="183"/>
      <c r="P1147" s="183"/>
      <c r="Q1147" s="183"/>
      <c r="R1147" s="183"/>
      <c r="S1147" s="183"/>
      <c r="T1147" s="183"/>
      <c r="U1147" s="183"/>
      <c r="V1147" s="183"/>
      <c r="W1147" s="183"/>
      <c r="X1147" s="183"/>
      <c r="Y1147" s="183"/>
      <c r="Z1147" s="183"/>
      <c r="AA1147" s="183"/>
      <c r="AB1147" s="183"/>
      <c r="AC1147" s="183"/>
      <c r="AD1147" s="183"/>
      <c r="AE1147" s="183"/>
      <c r="AF1147" s="183"/>
      <c r="AG1147" s="183"/>
      <c r="AH1147" s="183"/>
      <c r="AI1147" s="183"/>
      <c r="AJ1147" s="183"/>
      <c r="AK1147" s="183"/>
      <c r="AL1147" s="183"/>
      <c r="AM1147" s="183"/>
      <c r="AN1147" s="183"/>
    </row>
    <row r="1148" spans="1:40" ht="13" customHeight="1">
      <c r="A1148" s="183"/>
      <c r="B1148" s="183"/>
      <c r="C1148" s="183"/>
      <c r="D1148" s="183"/>
      <c r="E1148" s="183"/>
      <c r="F1148" s="183"/>
      <c r="G1148" s="183"/>
      <c r="H1148" s="183"/>
      <c r="I1148" s="183"/>
      <c r="J1148" s="183"/>
      <c r="K1148" s="183"/>
      <c r="L1148" s="183"/>
      <c r="M1148" s="183"/>
      <c r="N1148" s="183"/>
      <c r="O1148" s="183"/>
      <c r="P1148" s="183"/>
      <c r="Q1148" s="183"/>
      <c r="R1148" s="183"/>
      <c r="S1148" s="183"/>
      <c r="T1148" s="183"/>
      <c r="U1148" s="183"/>
      <c r="V1148" s="183"/>
      <c r="W1148" s="183"/>
      <c r="X1148" s="183"/>
      <c r="Y1148" s="183"/>
      <c r="Z1148" s="183"/>
      <c r="AA1148" s="183"/>
      <c r="AB1148" s="183"/>
      <c r="AC1148" s="183"/>
      <c r="AD1148" s="183"/>
      <c r="AE1148" s="183"/>
      <c r="AF1148" s="183"/>
      <c r="AG1148" s="183"/>
      <c r="AH1148" s="183"/>
      <c r="AI1148" s="183"/>
      <c r="AJ1148" s="183"/>
      <c r="AK1148" s="183"/>
      <c r="AL1148" s="183"/>
      <c r="AM1148" s="183"/>
      <c r="AN1148" s="183"/>
    </row>
    <row r="1149" spans="1:40" ht="13" customHeight="1">
      <c r="A1149" s="183"/>
      <c r="B1149" s="183"/>
      <c r="C1149" s="183"/>
      <c r="D1149" s="183"/>
      <c r="E1149" s="183"/>
      <c r="F1149" s="183"/>
      <c r="G1149" s="183"/>
      <c r="H1149" s="183"/>
      <c r="I1149" s="183"/>
      <c r="J1149" s="183"/>
      <c r="K1149" s="183"/>
      <c r="L1149" s="183"/>
      <c r="M1149" s="183"/>
      <c r="N1149" s="183"/>
      <c r="O1149" s="183"/>
      <c r="P1149" s="183"/>
      <c r="Q1149" s="183"/>
      <c r="R1149" s="183"/>
      <c r="S1149" s="183"/>
      <c r="T1149" s="183"/>
      <c r="U1149" s="183"/>
      <c r="V1149" s="183"/>
      <c r="W1149" s="183"/>
      <c r="X1149" s="183"/>
      <c r="Y1149" s="183"/>
      <c r="Z1149" s="183"/>
      <c r="AA1149" s="183"/>
      <c r="AB1149" s="183"/>
      <c r="AC1149" s="183"/>
      <c r="AD1149" s="183"/>
      <c r="AE1149" s="183"/>
      <c r="AF1149" s="183"/>
      <c r="AG1149" s="183"/>
      <c r="AH1149" s="183"/>
      <c r="AI1149" s="183"/>
      <c r="AJ1149" s="183"/>
      <c r="AK1149" s="183"/>
      <c r="AL1149" s="183"/>
      <c r="AM1149" s="183"/>
      <c r="AN1149" s="183"/>
    </row>
    <row r="1150" spans="1:40" ht="13" customHeight="1">
      <c r="A1150" s="183"/>
      <c r="B1150" s="183"/>
      <c r="C1150" s="183"/>
      <c r="D1150" s="183"/>
      <c r="E1150" s="183"/>
      <c r="F1150" s="183"/>
      <c r="G1150" s="183"/>
      <c r="H1150" s="183"/>
      <c r="I1150" s="183"/>
      <c r="J1150" s="183"/>
      <c r="K1150" s="183"/>
      <c r="L1150" s="183"/>
      <c r="M1150" s="183"/>
      <c r="N1150" s="183"/>
      <c r="O1150" s="183"/>
      <c r="P1150" s="183"/>
      <c r="Q1150" s="183"/>
      <c r="R1150" s="183"/>
      <c r="S1150" s="183"/>
      <c r="T1150" s="183"/>
      <c r="U1150" s="183"/>
      <c r="V1150" s="183"/>
      <c r="W1150" s="183"/>
      <c r="X1150" s="183"/>
      <c r="Y1150" s="183"/>
      <c r="Z1150" s="183"/>
      <c r="AA1150" s="183"/>
      <c r="AB1150" s="183"/>
      <c r="AC1150" s="183"/>
      <c r="AD1150" s="183"/>
      <c r="AE1150" s="183"/>
      <c r="AF1150" s="183"/>
      <c r="AG1150" s="183"/>
      <c r="AH1150" s="183"/>
      <c r="AI1150" s="183"/>
      <c r="AJ1150" s="183"/>
      <c r="AK1150" s="183"/>
      <c r="AL1150" s="183"/>
      <c r="AM1150" s="183"/>
      <c r="AN1150" s="183"/>
    </row>
    <row r="1151" spans="1:40" ht="13" customHeight="1">
      <c r="A1151" s="183"/>
      <c r="B1151" s="183"/>
      <c r="C1151" s="183"/>
      <c r="D1151" s="183"/>
      <c r="E1151" s="183"/>
      <c r="F1151" s="183"/>
      <c r="G1151" s="183"/>
      <c r="H1151" s="183"/>
      <c r="I1151" s="183"/>
      <c r="J1151" s="183"/>
      <c r="K1151" s="183"/>
      <c r="L1151" s="183"/>
      <c r="M1151" s="183"/>
      <c r="N1151" s="183"/>
      <c r="O1151" s="183"/>
      <c r="P1151" s="183"/>
      <c r="Q1151" s="183"/>
      <c r="R1151" s="183"/>
      <c r="S1151" s="183"/>
      <c r="T1151" s="183"/>
      <c r="U1151" s="183"/>
      <c r="V1151" s="183"/>
      <c r="W1151" s="183"/>
      <c r="X1151" s="183"/>
      <c r="Y1151" s="183"/>
      <c r="Z1151" s="183"/>
      <c r="AA1151" s="183"/>
      <c r="AB1151" s="183"/>
      <c r="AC1151" s="183"/>
      <c r="AD1151" s="183"/>
      <c r="AE1151" s="183"/>
      <c r="AF1151" s="183"/>
      <c r="AG1151" s="183"/>
      <c r="AH1151" s="183"/>
      <c r="AI1151" s="183"/>
      <c r="AJ1151" s="183"/>
      <c r="AK1151" s="183"/>
      <c r="AL1151" s="183"/>
      <c r="AM1151" s="183"/>
      <c r="AN1151" s="183"/>
    </row>
    <row r="1152" spans="1:40" ht="13" customHeight="1">
      <c r="A1152" s="183"/>
      <c r="B1152" s="183"/>
      <c r="C1152" s="183"/>
      <c r="D1152" s="183"/>
      <c r="E1152" s="183"/>
      <c r="F1152" s="183"/>
      <c r="G1152" s="183"/>
      <c r="H1152" s="183"/>
      <c r="I1152" s="183"/>
      <c r="J1152" s="183"/>
      <c r="K1152" s="183"/>
      <c r="L1152" s="183"/>
      <c r="M1152" s="183"/>
      <c r="N1152" s="183"/>
      <c r="O1152" s="183"/>
      <c r="P1152" s="183"/>
      <c r="Q1152" s="183"/>
      <c r="R1152" s="183"/>
      <c r="S1152" s="183"/>
      <c r="T1152" s="183"/>
      <c r="U1152" s="183"/>
      <c r="V1152" s="183"/>
      <c r="W1152" s="183"/>
      <c r="X1152" s="183"/>
      <c r="Y1152" s="183"/>
      <c r="Z1152" s="183"/>
      <c r="AA1152" s="183"/>
      <c r="AB1152" s="183"/>
      <c r="AC1152" s="183"/>
      <c r="AD1152" s="183"/>
      <c r="AE1152" s="183"/>
      <c r="AF1152" s="183"/>
      <c r="AG1152" s="183"/>
      <c r="AH1152" s="183"/>
      <c r="AI1152" s="183"/>
      <c r="AJ1152" s="183"/>
      <c r="AK1152" s="183"/>
      <c r="AL1152" s="183"/>
      <c r="AM1152" s="183"/>
      <c r="AN1152" s="183"/>
    </row>
    <row r="1153" spans="1:40" ht="13" customHeight="1">
      <c r="A1153" s="183"/>
      <c r="B1153" s="183"/>
      <c r="C1153" s="183"/>
      <c r="D1153" s="183"/>
      <c r="E1153" s="183"/>
      <c r="F1153" s="183"/>
      <c r="G1153" s="183"/>
      <c r="H1153" s="183"/>
      <c r="I1153" s="183"/>
      <c r="J1153" s="183"/>
      <c r="K1153" s="183"/>
      <c r="L1153" s="183"/>
      <c r="M1153" s="183"/>
      <c r="N1153" s="183"/>
      <c r="O1153" s="183"/>
      <c r="P1153" s="183"/>
      <c r="Q1153" s="183"/>
      <c r="R1153" s="183"/>
      <c r="S1153" s="183"/>
      <c r="T1153" s="183"/>
      <c r="U1153" s="183"/>
      <c r="V1153" s="183"/>
      <c r="W1153" s="183"/>
      <c r="X1153" s="183"/>
      <c r="Y1153" s="183"/>
      <c r="Z1153" s="183"/>
      <c r="AA1153" s="183"/>
      <c r="AB1153" s="183"/>
      <c r="AC1153" s="183"/>
      <c r="AD1153" s="183"/>
      <c r="AE1153" s="183"/>
      <c r="AF1153" s="183"/>
      <c r="AG1153" s="183"/>
      <c r="AH1153" s="183"/>
      <c r="AI1153" s="183"/>
      <c r="AJ1153" s="183"/>
      <c r="AK1153" s="183"/>
      <c r="AL1153" s="183"/>
      <c r="AM1153" s="183"/>
      <c r="AN1153" s="183"/>
    </row>
    <row r="1154" spans="1:40" ht="13" customHeight="1">
      <c r="A1154" s="183"/>
      <c r="B1154" s="183"/>
      <c r="C1154" s="183"/>
      <c r="D1154" s="183"/>
      <c r="E1154" s="183"/>
      <c r="F1154" s="183"/>
      <c r="G1154" s="183"/>
      <c r="H1154" s="183"/>
      <c r="I1154" s="183"/>
      <c r="J1154" s="183"/>
      <c r="K1154" s="183"/>
      <c r="L1154" s="183"/>
      <c r="M1154" s="183"/>
      <c r="N1154" s="183"/>
      <c r="O1154" s="183"/>
      <c r="P1154" s="183"/>
      <c r="Q1154" s="183"/>
      <c r="R1154" s="183"/>
      <c r="S1154" s="183"/>
      <c r="T1154" s="183"/>
      <c r="U1154" s="183"/>
      <c r="V1154" s="183"/>
      <c r="W1154" s="183"/>
      <c r="X1154" s="183"/>
      <c r="Y1154" s="183"/>
      <c r="Z1154" s="183"/>
      <c r="AA1154" s="183"/>
      <c r="AB1154" s="183"/>
      <c r="AC1154" s="183"/>
      <c r="AD1154" s="183"/>
      <c r="AE1154" s="183"/>
      <c r="AF1154" s="183"/>
      <c r="AG1154" s="183"/>
      <c r="AH1154" s="183"/>
      <c r="AI1154" s="183"/>
      <c r="AJ1154" s="183"/>
      <c r="AK1154" s="183"/>
      <c r="AL1154" s="183"/>
      <c r="AM1154" s="183"/>
      <c r="AN1154" s="183"/>
    </row>
    <row r="1155" spans="1:40" ht="13" customHeight="1">
      <c r="A1155" s="183"/>
      <c r="B1155" s="183"/>
      <c r="C1155" s="183"/>
      <c r="D1155" s="183"/>
      <c r="E1155" s="183"/>
      <c r="F1155" s="183"/>
      <c r="G1155" s="183"/>
      <c r="H1155" s="183"/>
      <c r="I1155" s="183"/>
      <c r="J1155" s="183"/>
      <c r="K1155" s="183"/>
      <c r="L1155" s="183"/>
      <c r="M1155" s="183"/>
      <c r="N1155" s="183"/>
      <c r="O1155" s="183"/>
      <c r="P1155" s="183"/>
      <c r="Q1155" s="183"/>
      <c r="R1155" s="183"/>
      <c r="S1155" s="183"/>
      <c r="T1155" s="183"/>
      <c r="U1155" s="183"/>
      <c r="V1155" s="183"/>
      <c r="W1155" s="183"/>
      <c r="X1155" s="183"/>
      <c r="Y1155" s="183"/>
      <c r="Z1155" s="183"/>
      <c r="AA1155" s="183"/>
      <c r="AB1155" s="183"/>
      <c r="AC1155" s="183"/>
      <c r="AD1155" s="183"/>
      <c r="AE1155" s="183"/>
      <c r="AF1155" s="183"/>
      <c r="AG1155" s="183"/>
      <c r="AH1155" s="183"/>
      <c r="AI1155" s="183"/>
      <c r="AJ1155" s="183"/>
      <c r="AK1155" s="183"/>
      <c r="AL1155" s="183"/>
      <c r="AM1155" s="183"/>
      <c r="AN1155" s="183"/>
    </row>
    <row r="1156" spans="1:40" ht="13" customHeight="1">
      <c r="A1156" s="183"/>
      <c r="B1156" s="183"/>
      <c r="C1156" s="183"/>
      <c r="D1156" s="183"/>
      <c r="E1156" s="183"/>
      <c r="F1156" s="183"/>
      <c r="G1156" s="183"/>
      <c r="H1156" s="183"/>
      <c r="I1156" s="183"/>
      <c r="J1156" s="183"/>
      <c r="K1156" s="183"/>
      <c r="L1156" s="183"/>
      <c r="M1156" s="183"/>
      <c r="N1156" s="183"/>
      <c r="O1156" s="183"/>
      <c r="P1156" s="183"/>
      <c r="Q1156" s="183"/>
      <c r="R1156" s="183"/>
      <c r="S1156" s="183"/>
      <c r="T1156" s="183"/>
      <c r="U1156" s="183"/>
      <c r="V1156" s="183"/>
      <c r="W1156" s="183"/>
      <c r="X1156" s="183"/>
      <c r="Y1156" s="183"/>
      <c r="Z1156" s="183"/>
      <c r="AA1156" s="183"/>
      <c r="AB1156" s="183"/>
      <c r="AC1156" s="183"/>
      <c r="AD1156" s="183"/>
      <c r="AE1156" s="183"/>
      <c r="AF1156" s="183"/>
      <c r="AG1156" s="183"/>
      <c r="AH1156" s="183"/>
      <c r="AI1156" s="183"/>
      <c r="AJ1156" s="183"/>
      <c r="AK1156" s="183"/>
      <c r="AL1156" s="183"/>
      <c r="AM1156" s="183"/>
      <c r="AN1156" s="183"/>
    </row>
    <row r="1157" spans="1:40" ht="13" customHeight="1">
      <c r="A1157" s="183"/>
      <c r="B1157" s="183"/>
      <c r="C1157" s="183"/>
      <c r="D1157" s="183"/>
      <c r="E1157" s="183"/>
      <c r="F1157" s="183"/>
      <c r="G1157" s="183"/>
      <c r="H1157" s="183"/>
      <c r="I1157" s="183"/>
      <c r="J1157" s="183"/>
      <c r="K1157" s="183"/>
      <c r="L1157" s="183"/>
      <c r="M1157" s="183"/>
      <c r="N1157" s="183"/>
      <c r="O1157" s="183"/>
      <c r="P1157" s="183"/>
      <c r="Q1157" s="183"/>
      <c r="R1157" s="183"/>
      <c r="S1157" s="183"/>
      <c r="T1157" s="183"/>
      <c r="U1157" s="183"/>
      <c r="V1157" s="183"/>
      <c r="W1157" s="183"/>
      <c r="X1157" s="183"/>
      <c r="Y1157" s="183"/>
      <c r="Z1157" s="183"/>
      <c r="AA1157" s="183"/>
      <c r="AB1157" s="183"/>
      <c r="AC1157" s="183"/>
      <c r="AD1157" s="183"/>
      <c r="AE1157" s="183"/>
      <c r="AF1157" s="183"/>
      <c r="AG1157" s="183"/>
      <c r="AH1157" s="183"/>
      <c r="AI1157" s="183"/>
      <c r="AJ1157" s="183"/>
      <c r="AK1157" s="183"/>
      <c r="AL1157" s="183"/>
      <c r="AM1157" s="183"/>
      <c r="AN1157" s="183"/>
    </row>
    <row r="1158" spans="1:40" ht="13" customHeight="1">
      <c r="A1158" s="183"/>
      <c r="B1158" s="183"/>
      <c r="C1158" s="183"/>
      <c r="D1158" s="183"/>
      <c r="E1158" s="183"/>
      <c r="F1158" s="183"/>
      <c r="G1158" s="183"/>
      <c r="H1158" s="183"/>
      <c r="I1158" s="183"/>
      <c r="J1158" s="183"/>
      <c r="K1158" s="183"/>
      <c r="L1158" s="183"/>
      <c r="M1158" s="183"/>
      <c r="N1158" s="183"/>
      <c r="O1158" s="183"/>
      <c r="P1158" s="183"/>
      <c r="Q1158" s="183"/>
      <c r="R1158" s="183"/>
      <c r="S1158" s="183"/>
      <c r="T1158" s="183"/>
      <c r="U1158" s="183"/>
      <c r="V1158" s="183"/>
      <c r="W1158" s="183"/>
      <c r="X1158" s="183"/>
      <c r="Y1158" s="183"/>
      <c r="Z1158" s="183"/>
      <c r="AA1158" s="183"/>
      <c r="AB1158" s="183"/>
      <c r="AC1158" s="183"/>
      <c r="AD1158" s="183"/>
      <c r="AE1158" s="183"/>
      <c r="AF1158" s="183"/>
      <c r="AG1158" s="183"/>
      <c r="AH1158" s="183"/>
      <c r="AI1158" s="183"/>
      <c r="AJ1158" s="183"/>
      <c r="AK1158" s="183"/>
      <c r="AL1158" s="183"/>
      <c r="AM1158" s="183"/>
      <c r="AN1158" s="183"/>
    </row>
    <row r="1159" spans="1:40" ht="13" customHeight="1">
      <c r="A1159" s="183"/>
      <c r="B1159" s="183"/>
      <c r="C1159" s="183"/>
      <c r="D1159" s="183"/>
      <c r="E1159" s="183"/>
      <c r="F1159" s="183"/>
      <c r="G1159" s="183"/>
      <c r="H1159" s="183"/>
      <c r="I1159" s="183"/>
      <c r="J1159" s="183"/>
      <c r="K1159" s="183"/>
      <c r="L1159" s="183"/>
      <c r="M1159" s="183"/>
      <c r="N1159" s="183"/>
      <c r="O1159" s="183"/>
      <c r="P1159" s="183"/>
      <c r="Q1159" s="183"/>
      <c r="R1159" s="183"/>
      <c r="S1159" s="183"/>
      <c r="T1159" s="183"/>
      <c r="U1159" s="183"/>
      <c r="V1159" s="183"/>
      <c r="W1159" s="183"/>
      <c r="X1159" s="183"/>
      <c r="Y1159" s="183"/>
      <c r="Z1159" s="183"/>
      <c r="AA1159" s="183"/>
      <c r="AB1159" s="183"/>
      <c r="AC1159" s="183"/>
      <c r="AD1159" s="183"/>
      <c r="AE1159" s="183"/>
      <c r="AF1159" s="183"/>
      <c r="AG1159" s="183"/>
      <c r="AH1159" s="183"/>
      <c r="AI1159" s="183"/>
      <c r="AJ1159" s="183"/>
      <c r="AK1159" s="183"/>
      <c r="AL1159" s="183"/>
      <c r="AM1159" s="183"/>
      <c r="AN1159" s="183"/>
    </row>
    <row r="1160" spans="1:40" ht="13" customHeight="1">
      <c r="A1160" s="183"/>
      <c r="B1160" s="183"/>
      <c r="C1160" s="183"/>
      <c r="D1160" s="183"/>
      <c r="E1160" s="183"/>
      <c r="F1160" s="183"/>
      <c r="G1160" s="183"/>
      <c r="H1160" s="183"/>
      <c r="I1160" s="183"/>
      <c r="J1160" s="183"/>
      <c r="K1160" s="183"/>
      <c r="L1160" s="183"/>
      <c r="M1160" s="183"/>
      <c r="N1160" s="183"/>
      <c r="O1160" s="183"/>
      <c r="P1160" s="183"/>
      <c r="Q1160" s="183"/>
      <c r="R1160" s="183"/>
      <c r="S1160" s="183"/>
      <c r="T1160" s="183"/>
      <c r="U1160" s="183"/>
      <c r="V1160" s="183"/>
      <c r="W1160" s="183"/>
      <c r="X1160" s="183"/>
      <c r="Y1160" s="183"/>
      <c r="Z1160" s="183"/>
      <c r="AA1160" s="183"/>
      <c r="AB1160" s="183"/>
      <c r="AC1160" s="183"/>
      <c r="AD1160" s="183"/>
      <c r="AE1160" s="183"/>
      <c r="AF1160" s="183"/>
      <c r="AG1160" s="183"/>
      <c r="AH1160" s="183"/>
      <c r="AI1160" s="183"/>
      <c r="AJ1160" s="183"/>
      <c r="AK1160" s="183"/>
      <c r="AL1160" s="183"/>
      <c r="AM1160" s="183"/>
      <c r="AN1160" s="183"/>
    </row>
    <row r="1161" spans="1:40" ht="13" customHeight="1">
      <c r="A1161" s="183"/>
      <c r="B1161" s="183"/>
      <c r="C1161" s="183"/>
      <c r="D1161" s="183"/>
      <c r="E1161" s="183"/>
      <c r="F1161" s="183"/>
      <c r="G1161" s="183"/>
      <c r="H1161" s="183"/>
      <c r="I1161" s="183"/>
      <c r="J1161" s="183"/>
      <c r="K1161" s="183"/>
      <c r="L1161" s="183"/>
      <c r="M1161" s="183"/>
      <c r="N1161" s="183"/>
      <c r="O1161" s="183"/>
      <c r="P1161" s="183"/>
      <c r="Q1161" s="183"/>
      <c r="R1161" s="183"/>
      <c r="S1161" s="183"/>
      <c r="T1161" s="183"/>
      <c r="U1161" s="183"/>
      <c r="V1161" s="183"/>
      <c r="W1161" s="183"/>
      <c r="X1161" s="183"/>
      <c r="Y1161" s="183"/>
      <c r="Z1161" s="183"/>
      <c r="AA1161" s="183"/>
      <c r="AB1161" s="183"/>
      <c r="AC1161" s="183"/>
      <c r="AD1161" s="183"/>
      <c r="AE1161" s="183"/>
      <c r="AF1161" s="183"/>
      <c r="AG1161" s="183"/>
      <c r="AH1161" s="183"/>
      <c r="AI1161" s="183"/>
      <c r="AJ1161" s="183"/>
      <c r="AK1161" s="183"/>
      <c r="AL1161" s="183"/>
      <c r="AM1161" s="183"/>
      <c r="AN1161" s="183"/>
    </row>
    <row r="1162" spans="1:40" ht="13" customHeight="1">
      <c r="A1162" s="183"/>
      <c r="B1162" s="183"/>
      <c r="C1162" s="183"/>
      <c r="D1162" s="183"/>
      <c r="E1162" s="183"/>
      <c r="F1162" s="183"/>
      <c r="G1162" s="183"/>
      <c r="H1162" s="183"/>
      <c r="I1162" s="183"/>
      <c r="J1162" s="183"/>
      <c r="K1162" s="183"/>
      <c r="L1162" s="183"/>
      <c r="M1162" s="183"/>
      <c r="N1162" s="183"/>
      <c r="O1162" s="183"/>
      <c r="P1162" s="183"/>
      <c r="Q1162" s="183"/>
      <c r="R1162" s="183"/>
      <c r="S1162" s="183"/>
      <c r="T1162" s="183"/>
      <c r="U1162" s="183"/>
      <c r="V1162" s="183"/>
      <c r="W1162" s="183"/>
      <c r="X1162" s="183"/>
      <c r="Y1162" s="183"/>
      <c r="Z1162" s="183"/>
      <c r="AA1162" s="183"/>
      <c r="AB1162" s="183"/>
      <c r="AC1162" s="183"/>
      <c r="AD1162" s="183"/>
      <c r="AE1162" s="183"/>
      <c r="AF1162" s="183"/>
      <c r="AG1162" s="183"/>
      <c r="AH1162" s="183"/>
      <c r="AI1162" s="183"/>
      <c r="AJ1162" s="183"/>
      <c r="AK1162" s="183"/>
      <c r="AL1162" s="183"/>
      <c r="AM1162" s="183"/>
      <c r="AN1162" s="183"/>
    </row>
    <row r="1163" spans="1:40" ht="13" customHeight="1">
      <c r="A1163" s="183"/>
      <c r="B1163" s="183"/>
      <c r="C1163" s="183"/>
      <c r="D1163" s="183"/>
      <c r="E1163" s="183"/>
      <c r="F1163" s="183"/>
      <c r="G1163" s="183"/>
      <c r="H1163" s="183"/>
      <c r="I1163" s="183"/>
      <c r="J1163" s="183"/>
      <c r="K1163" s="183"/>
      <c r="L1163" s="183"/>
      <c r="M1163" s="183"/>
      <c r="N1163" s="183"/>
      <c r="O1163" s="183"/>
      <c r="P1163" s="183"/>
      <c r="Q1163" s="183"/>
      <c r="R1163" s="183"/>
      <c r="S1163" s="183"/>
      <c r="T1163" s="183"/>
      <c r="U1163" s="183"/>
      <c r="V1163" s="183"/>
      <c r="W1163" s="183"/>
      <c r="X1163" s="183"/>
      <c r="Y1163" s="183"/>
      <c r="Z1163" s="183"/>
      <c r="AA1163" s="183"/>
      <c r="AB1163" s="183"/>
      <c r="AC1163" s="183"/>
      <c r="AD1163" s="183"/>
      <c r="AE1163" s="183"/>
      <c r="AF1163" s="183"/>
      <c r="AG1163" s="183"/>
      <c r="AH1163" s="183"/>
      <c r="AI1163" s="183"/>
      <c r="AJ1163" s="183"/>
      <c r="AK1163" s="183"/>
      <c r="AL1163" s="183"/>
      <c r="AM1163" s="183"/>
      <c r="AN1163" s="183"/>
    </row>
    <row r="1164" spans="1:40" ht="13" customHeight="1">
      <c r="A1164" s="183"/>
      <c r="B1164" s="183"/>
      <c r="C1164" s="183"/>
      <c r="D1164" s="183"/>
      <c r="E1164" s="183"/>
      <c r="F1164" s="183"/>
      <c r="G1164" s="183"/>
      <c r="H1164" s="183"/>
      <c r="I1164" s="183"/>
      <c r="J1164" s="183"/>
      <c r="K1164" s="183"/>
      <c r="L1164" s="183"/>
      <c r="M1164" s="183"/>
      <c r="N1164" s="183"/>
      <c r="O1164" s="183"/>
      <c r="P1164" s="183"/>
      <c r="Q1164" s="183"/>
      <c r="R1164" s="183"/>
      <c r="S1164" s="183"/>
      <c r="T1164" s="183"/>
      <c r="U1164" s="183"/>
      <c r="V1164" s="183"/>
      <c r="W1164" s="183"/>
      <c r="X1164" s="183"/>
      <c r="Y1164" s="183"/>
      <c r="Z1164" s="183"/>
      <c r="AA1164" s="183"/>
      <c r="AB1164" s="183"/>
      <c r="AC1164" s="183"/>
      <c r="AD1164" s="183"/>
      <c r="AE1164" s="183"/>
      <c r="AF1164" s="183"/>
      <c r="AG1164" s="183"/>
      <c r="AH1164" s="183"/>
      <c r="AI1164" s="183"/>
      <c r="AJ1164" s="183"/>
      <c r="AK1164" s="183"/>
      <c r="AL1164" s="183"/>
      <c r="AM1164" s="183"/>
      <c r="AN1164" s="183"/>
    </row>
    <row r="1165" spans="1:40" ht="13" customHeight="1">
      <c r="A1165" s="183"/>
      <c r="B1165" s="183"/>
      <c r="C1165" s="183"/>
      <c r="D1165" s="183"/>
      <c r="E1165" s="183"/>
      <c r="F1165" s="183"/>
      <c r="G1165" s="183"/>
      <c r="H1165" s="183"/>
      <c r="I1165" s="183"/>
      <c r="J1165" s="183"/>
      <c r="K1165" s="183"/>
      <c r="L1165" s="183"/>
      <c r="M1165" s="183"/>
      <c r="N1165" s="183"/>
      <c r="O1165" s="183"/>
      <c r="P1165" s="183"/>
      <c r="Q1165" s="183"/>
      <c r="R1165" s="183"/>
      <c r="S1165" s="183"/>
      <c r="T1165" s="183"/>
      <c r="U1165" s="183"/>
      <c r="V1165" s="183"/>
      <c r="W1165" s="183"/>
      <c r="X1165" s="183"/>
      <c r="Y1165" s="183"/>
      <c r="Z1165" s="183"/>
      <c r="AA1165" s="183"/>
      <c r="AB1165" s="183"/>
      <c r="AC1165" s="183"/>
      <c r="AD1165" s="183"/>
      <c r="AE1165" s="183"/>
      <c r="AF1165" s="183"/>
      <c r="AG1165" s="183"/>
      <c r="AH1165" s="183"/>
      <c r="AI1165" s="183"/>
      <c r="AJ1165" s="183"/>
      <c r="AK1165" s="183"/>
      <c r="AL1165" s="183"/>
      <c r="AM1165" s="183"/>
      <c r="AN1165" s="183"/>
    </row>
    <row r="1166" spans="1:40" ht="13" customHeight="1">
      <c r="A1166" s="183"/>
      <c r="B1166" s="183"/>
      <c r="C1166" s="183"/>
      <c r="D1166" s="183"/>
      <c r="E1166" s="183"/>
      <c r="F1166" s="183"/>
      <c r="G1166" s="183"/>
      <c r="H1166" s="183"/>
      <c r="I1166" s="183"/>
      <c r="J1166" s="183"/>
      <c r="K1166" s="183"/>
      <c r="L1166" s="183"/>
      <c r="M1166" s="183"/>
      <c r="N1166" s="183"/>
      <c r="O1166" s="183"/>
      <c r="P1166" s="183"/>
      <c r="Q1166" s="183"/>
      <c r="R1166" s="183"/>
      <c r="S1166" s="183"/>
      <c r="T1166" s="183"/>
      <c r="U1166" s="183"/>
      <c r="V1166" s="183"/>
      <c r="W1166" s="183"/>
      <c r="X1166" s="183"/>
      <c r="Y1166" s="183"/>
      <c r="Z1166" s="183"/>
      <c r="AA1166" s="183"/>
      <c r="AB1166" s="183"/>
      <c r="AC1166" s="183"/>
      <c r="AD1166" s="183"/>
      <c r="AE1166" s="183"/>
      <c r="AF1166" s="183"/>
      <c r="AG1166" s="183"/>
      <c r="AH1166" s="183"/>
      <c r="AI1166" s="183"/>
      <c r="AJ1166" s="183"/>
      <c r="AK1166" s="183"/>
      <c r="AL1166" s="183"/>
      <c r="AM1166" s="183"/>
      <c r="AN1166" s="183"/>
    </row>
    <row r="1167" spans="1:40" ht="13" customHeight="1">
      <c r="A1167" s="183"/>
      <c r="B1167" s="183"/>
      <c r="C1167" s="183"/>
      <c r="D1167" s="183"/>
      <c r="E1167" s="183"/>
      <c r="F1167" s="183"/>
      <c r="G1167" s="183"/>
      <c r="H1167" s="183"/>
      <c r="I1167" s="183"/>
      <c r="J1167" s="183"/>
      <c r="K1167" s="183"/>
      <c r="L1167" s="183"/>
      <c r="M1167" s="183"/>
      <c r="N1167" s="183"/>
      <c r="O1167" s="183"/>
      <c r="P1167" s="183"/>
      <c r="Q1167" s="183"/>
      <c r="R1167" s="183"/>
      <c r="S1167" s="183"/>
      <c r="T1167" s="183"/>
      <c r="U1167" s="183"/>
      <c r="V1167" s="183"/>
      <c r="W1167" s="183"/>
      <c r="X1167" s="183"/>
      <c r="Y1167" s="183"/>
      <c r="Z1167" s="183"/>
      <c r="AA1167" s="183"/>
      <c r="AB1167" s="183"/>
      <c r="AC1167" s="183"/>
      <c r="AD1167" s="183"/>
      <c r="AE1167" s="183"/>
      <c r="AF1167" s="183"/>
      <c r="AG1167" s="183"/>
      <c r="AH1167" s="183"/>
      <c r="AI1167" s="183"/>
      <c r="AJ1167" s="183"/>
      <c r="AK1167" s="183"/>
      <c r="AL1167" s="183"/>
      <c r="AM1167" s="183"/>
      <c r="AN1167" s="183"/>
    </row>
    <row r="1168" spans="1:40" ht="13" customHeight="1">
      <c r="A1168" s="183"/>
      <c r="B1168" s="183"/>
      <c r="C1168" s="183"/>
      <c r="D1168" s="183"/>
      <c r="E1168" s="183"/>
      <c r="F1168" s="183"/>
      <c r="G1168" s="183"/>
      <c r="H1168" s="183"/>
      <c r="I1168" s="183"/>
      <c r="J1168" s="183"/>
      <c r="K1168" s="183"/>
      <c r="L1168" s="183"/>
      <c r="M1168" s="183"/>
      <c r="N1168" s="183"/>
      <c r="O1168" s="183"/>
      <c r="P1168" s="183"/>
      <c r="Q1168" s="183"/>
      <c r="R1168" s="183"/>
      <c r="S1168" s="183"/>
      <c r="T1168" s="183"/>
      <c r="U1168" s="183"/>
      <c r="V1168" s="183"/>
      <c r="W1168" s="183"/>
      <c r="X1168" s="183"/>
      <c r="Y1168" s="183"/>
      <c r="Z1168" s="183"/>
      <c r="AA1168" s="183"/>
      <c r="AB1168" s="183"/>
      <c r="AC1168" s="183"/>
      <c r="AD1168" s="183"/>
      <c r="AE1168" s="183"/>
      <c r="AF1168" s="183"/>
      <c r="AG1168" s="183"/>
      <c r="AH1168" s="183"/>
      <c r="AI1168" s="183"/>
      <c r="AJ1168" s="183"/>
      <c r="AK1168" s="183"/>
      <c r="AL1168" s="183"/>
      <c r="AM1168" s="183"/>
      <c r="AN1168" s="183"/>
    </row>
    <row r="1169" spans="1:40" ht="13" customHeight="1">
      <c r="A1169" s="183"/>
      <c r="B1169" s="183"/>
      <c r="C1169" s="183"/>
      <c r="D1169" s="183"/>
      <c r="E1169" s="183"/>
      <c r="F1169" s="183"/>
      <c r="G1169" s="183"/>
      <c r="H1169" s="183"/>
      <c r="I1169" s="183"/>
      <c r="J1169" s="183"/>
      <c r="K1169" s="183"/>
      <c r="L1169" s="183"/>
      <c r="M1169" s="183"/>
      <c r="N1169" s="183"/>
      <c r="O1169" s="183"/>
      <c r="P1169" s="183"/>
      <c r="Q1169" s="183"/>
      <c r="R1169" s="183"/>
      <c r="S1169" s="183"/>
      <c r="T1169" s="183"/>
      <c r="U1169" s="183"/>
      <c r="V1169" s="183"/>
      <c r="W1169" s="183"/>
      <c r="X1169" s="183"/>
      <c r="Y1169" s="183"/>
      <c r="Z1169" s="183"/>
      <c r="AA1169" s="183"/>
      <c r="AB1169" s="183"/>
      <c r="AC1169" s="183"/>
      <c r="AD1169" s="183"/>
      <c r="AE1169" s="183"/>
      <c r="AF1169" s="183"/>
      <c r="AG1169" s="183"/>
      <c r="AH1169" s="183"/>
      <c r="AI1169" s="183"/>
      <c r="AJ1169" s="183"/>
      <c r="AK1169" s="183"/>
      <c r="AL1169" s="183"/>
      <c r="AM1169" s="183"/>
      <c r="AN1169" s="183"/>
    </row>
    <row r="1170" spans="1:40" ht="13" customHeight="1">
      <c r="A1170" s="183"/>
      <c r="B1170" s="183"/>
      <c r="C1170" s="183"/>
      <c r="D1170" s="183"/>
      <c r="E1170" s="183"/>
      <c r="F1170" s="183"/>
      <c r="G1170" s="183"/>
      <c r="H1170" s="183"/>
      <c r="I1170" s="183"/>
      <c r="J1170" s="183"/>
      <c r="K1170" s="183"/>
      <c r="L1170" s="183"/>
      <c r="M1170" s="183"/>
      <c r="N1170" s="183"/>
      <c r="O1170" s="183"/>
      <c r="P1170" s="183"/>
      <c r="Q1170" s="183"/>
      <c r="R1170" s="183"/>
      <c r="S1170" s="183"/>
      <c r="T1170" s="183"/>
      <c r="U1170" s="183"/>
      <c r="V1170" s="183"/>
      <c r="W1170" s="183"/>
      <c r="X1170" s="183"/>
      <c r="Y1170" s="183"/>
      <c r="Z1170" s="183"/>
      <c r="AA1170" s="183"/>
      <c r="AB1170" s="183"/>
      <c r="AC1170" s="183"/>
      <c r="AD1170" s="183"/>
      <c r="AE1170" s="183"/>
      <c r="AF1170" s="183"/>
      <c r="AG1170" s="183"/>
      <c r="AH1170" s="183"/>
      <c r="AI1170" s="183"/>
      <c r="AJ1170" s="183"/>
      <c r="AK1170" s="183"/>
      <c r="AL1170" s="183"/>
      <c r="AM1170" s="183"/>
      <c r="AN1170" s="183"/>
    </row>
    <row r="1171" spans="1:40" ht="13" customHeight="1">
      <c r="A1171" s="183"/>
      <c r="B1171" s="183"/>
      <c r="C1171" s="183"/>
      <c r="D1171" s="183"/>
      <c r="E1171" s="183"/>
      <c r="F1171" s="183"/>
      <c r="G1171" s="183"/>
      <c r="H1171" s="183"/>
      <c r="I1171" s="183"/>
      <c r="J1171" s="183"/>
      <c r="K1171" s="183"/>
      <c r="L1171" s="183"/>
      <c r="M1171" s="183"/>
      <c r="N1171" s="183"/>
      <c r="O1171" s="183"/>
      <c r="P1171" s="183"/>
      <c r="Q1171" s="183"/>
      <c r="R1171" s="183"/>
      <c r="S1171" s="183"/>
      <c r="T1171" s="183"/>
      <c r="U1171" s="183"/>
      <c r="V1171" s="183"/>
      <c r="W1171" s="183"/>
      <c r="X1171" s="183"/>
      <c r="Y1171" s="183"/>
      <c r="Z1171" s="183"/>
      <c r="AA1171" s="183"/>
      <c r="AB1171" s="183"/>
      <c r="AC1171" s="183"/>
      <c r="AD1171" s="183"/>
      <c r="AE1171" s="183"/>
      <c r="AF1171" s="183"/>
      <c r="AG1171" s="183"/>
      <c r="AH1171" s="183"/>
      <c r="AI1171" s="183"/>
      <c r="AJ1171" s="183"/>
      <c r="AK1171" s="183"/>
      <c r="AL1171" s="183"/>
      <c r="AM1171" s="183"/>
      <c r="AN1171" s="183"/>
    </row>
    <row r="1172" spans="1:40" ht="13" customHeight="1">
      <c r="A1172" s="183"/>
      <c r="B1172" s="183"/>
      <c r="C1172" s="183"/>
      <c r="D1172" s="183"/>
      <c r="E1172" s="183"/>
      <c r="F1172" s="183"/>
      <c r="G1172" s="183"/>
      <c r="H1172" s="183"/>
      <c r="I1172" s="183"/>
      <c r="J1172" s="183"/>
      <c r="K1172" s="183"/>
      <c r="L1172" s="183"/>
      <c r="M1172" s="183"/>
      <c r="N1172" s="183"/>
      <c r="O1172" s="183"/>
      <c r="P1172" s="183"/>
      <c r="Q1172" s="183"/>
      <c r="R1172" s="183"/>
      <c r="S1172" s="183"/>
      <c r="T1172" s="183"/>
      <c r="U1172" s="183"/>
      <c r="V1172" s="183"/>
      <c r="W1172" s="183"/>
      <c r="X1172" s="183"/>
      <c r="Y1172" s="183"/>
      <c r="Z1172" s="183"/>
      <c r="AA1172" s="183"/>
      <c r="AB1172" s="183"/>
      <c r="AC1172" s="183"/>
      <c r="AD1172" s="183"/>
      <c r="AE1172" s="183"/>
      <c r="AF1172" s="183"/>
      <c r="AG1172" s="183"/>
      <c r="AH1172" s="183"/>
      <c r="AI1172" s="183"/>
      <c r="AJ1172" s="183"/>
      <c r="AK1172" s="183"/>
      <c r="AL1172" s="183"/>
      <c r="AM1172" s="183"/>
      <c r="AN1172" s="183"/>
    </row>
    <row r="1173" spans="1:40" ht="13" customHeight="1">
      <c r="A1173" s="183"/>
      <c r="B1173" s="183"/>
      <c r="C1173" s="183"/>
      <c r="D1173" s="183"/>
      <c r="E1173" s="183"/>
      <c r="F1173" s="183"/>
      <c r="G1173" s="183"/>
      <c r="H1173" s="183"/>
      <c r="I1173" s="183"/>
      <c r="J1173" s="183"/>
      <c r="K1173" s="183"/>
      <c r="L1173" s="183"/>
      <c r="M1173" s="183"/>
      <c r="N1173" s="183"/>
      <c r="O1173" s="183"/>
      <c r="P1173" s="183"/>
      <c r="Q1173" s="183"/>
      <c r="R1173" s="183"/>
      <c r="S1173" s="183"/>
      <c r="T1173" s="183"/>
      <c r="U1173" s="183"/>
      <c r="V1173" s="183"/>
      <c r="W1173" s="183"/>
      <c r="X1173" s="183"/>
      <c r="Y1173" s="183"/>
      <c r="Z1173" s="183"/>
      <c r="AA1173" s="183"/>
      <c r="AB1173" s="183"/>
      <c r="AC1173" s="183"/>
      <c r="AD1173" s="183"/>
      <c r="AE1173" s="183"/>
      <c r="AF1173" s="183"/>
      <c r="AG1173" s="183"/>
      <c r="AH1173" s="183"/>
      <c r="AI1173" s="183"/>
      <c r="AJ1173" s="183"/>
      <c r="AK1173" s="183"/>
      <c r="AL1173" s="183"/>
      <c r="AM1173" s="183"/>
      <c r="AN1173" s="183"/>
    </row>
    <row r="1174" spans="1:40" ht="13" customHeight="1">
      <c r="A1174" s="183"/>
      <c r="B1174" s="183"/>
      <c r="C1174" s="183"/>
      <c r="D1174" s="183"/>
      <c r="E1174" s="183"/>
      <c r="F1174" s="183"/>
      <c r="G1174" s="183"/>
      <c r="H1174" s="183"/>
      <c r="I1174" s="183"/>
      <c r="J1174" s="183"/>
      <c r="K1174" s="183"/>
      <c r="L1174" s="183"/>
      <c r="M1174" s="183"/>
      <c r="N1174" s="183"/>
      <c r="O1174" s="183"/>
      <c r="P1174" s="183"/>
      <c r="Q1174" s="183"/>
      <c r="R1174" s="183"/>
      <c r="S1174" s="183"/>
      <c r="T1174" s="183"/>
      <c r="U1174" s="183"/>
      <c r="V1174" s="183"/>
      <c r="W1174" s="183"/>
      <c r="X1174" s="183"/>
      <c r="Y1174" s="183"/>
      <c r="Z1174" s="183"/>
      <c r="AA1174" s="183"/>
      <c r="AB1174" s="183"/>
      <c r="AC1174" s="183"/>
      <c r="AD1174" s="183"/>
      <c r="AE1174" s="183"/>
      <c r="AF1174" s="183"/>
      <c r="AG1174" s="183"/>
      <c r="AH1174" s="183"/>
      <c r="AI1174" s="183"/>
      <c r="AJ1174" s="183"/>
      <c r="AK1174" s="183"/>
      <c r="AL1174" s="183"/>
      <c r="AM1174" s="183"/>
      <c r="AN1174" s="183"/>
    </row>
    <row r="1175" spans="1:40" ht="13" customHeight="1">
      <c r="A1175" s="183"/>
      <c r="B1175" s="183"/>
      <c r="C1175" s="183"/>
      <c r="D1175" s="183"/>
      <c r="E1175" s="183"/>
      <c r="F1175" s="183"/>
      <c r="G1175" s="183"/>
      <c r="H1175" s="183"/>
      <c r="I1175" s="183"/>
      <c r="J1175" s="183"/>
      <c r="K1175" s="183"/>
      <c r="L1175" s="183"/>
      <c r="M1175" s="183"/>
      <c r="N1175" s="183"/>
      <c r="O1175" s="183"/>
      <c r="P1175" s="183"/>
      <c r="Q1175" s="183"/>
      <c r="R1175" s="183"/>
      <c r="S1175" s="183"/>
      <c r="T1175" s="183"/>
      <c r="U1175" s="183"/>
      <c r="V1175" s="183"/>
      <c r="W1175" s="183"/>
      <c r="X1175" s="183"/>
      <c r="Y1175" s="183"/>
      <c r="Z1175" s="183"/>
      <c r="AA1175" s="183"/>
      <c r="AB1175" s="183"/>
      <c r="AC1175" s="183"/>
      <c r="AD1175" s="183"/>
      <c r="AE1175" s="183"/>
      <c r="AF1175" s="183"/>
      <c r="AG1175" s="183"/>
      <c r="AH1175" s="183"/>
      <c r="AI1175" s="183"/>
      <c r="AJ1175" s="183"/>
      <c r="AK1175" s="183"/>
      <c r="AL1175" s="183"/>
      <c r="AM1175" s="183"/>
      <c r="AN1175" s="183"/>
    </row>
    <row r="1176" spans="1:40" ht="13" customHeight="1">
      <c r="A1176" s="183"/>
      <c r="B1176" s="183"/>
      <c r="C1176" s="183"/>
      <c r="D1176" s="183"/>
      <c r="E1176" s="183"/>
      <c r="F1176" s="183"/>
      <c r="G1176" s="183"/>
      <c r="H1176" s="183"/>
      <c r="I1176" s="183"/>
      <c r="J1176" s="183"/>
      <c r="K1176" s="183"/>
      <c r="L1176" s="183"/>
      <c r="M1176" s="183"/>
      <c r="N1176" s="183"/>
      <c r="O1176" s="183"/>
      <c r="P1176" s="183"/>
      <c r="Q1176" s="183"/>
      <c r="R1176" s="183"/>
      <c r="S1176" s="183"/>
      <c r="T1176" s="183"/>
      <c r="U1176" s="183"/>
      <c r="V1176" s="183"/>
      <c r="W1176" s="183"/>
      <c r="X1176" s="183"/>
      <c r="Y1176" s="183"/>
      <c r="Z1176" s="183"/>
      <c r="AA1176" s="183"/>
      <c r="AB1176" s="183"/>
      <c r="AC1176" s="183"/>
      <c r="AD1176" s="183"/>
      <c r="AE1176" s="183"/>
      <c r="AF1176" s="183"/>
      <c r="AG1176" s="183"/>
      <c r="AH1176" s="183"/>
      <c r="AI1176" s="183"/>
      <c r="AJ1176" s="183"/>
      <c r="AK1176" s="183"/>
      <c r="AL1176" s="183"/>
      <c r="AM1176" s="183"/>
      <c r="AN1176" s="183"/>
    </row>
    <row r="1177" spans="1:40" ht="13" customHeight="1">
      <c r="A1177" s="183"/>
      <c r="B1177" s="183"/>
      <c r="C1177" s="183"/>
      <c r="D1177" s="183"/>
      <c r="E1177" s="183"/>
      <c r="F1177" s="183"/>
      <c r="G1177" s="183"/>
      <c r="H1177" s="183"/>
      <c r="I1177" s="183"/>
      <c r="J1177" s="183"/>
      <c r="K1177" s="183"/>
      <c r="L1177" s="183"/>
      <c r="M1177" s="183"/>
      <c r="N1177" s="183"/>
      <c r="O1177" s="183"/>
      <c r="P1177" s="183"/>
      <c r="Q1177" s="183"/>
      <c r="R1177" s="183"/>
      <c r="S1177" s="183"/>
      <c r="T1177" s="183"/>
      <c r="U1177" s="183"/>
      <c r="V1177" s="183"/>
      <c r="W1177" s="183"/>
      <c r="X1177" s="183"/>
      <c r="Y1177" s="183"/>
      <c r="Z1177" s="183"/>
      <c r="AA1177" s="183"/>
      <c r="AB1177" s="183"/>
      <c r="AC1177" s="183"/>
      <c r="AD1177" s="183"/>
      <c r="AE1177" s="183"/>
      <c r="AF1177" s="183"/>
      <c r="AG1177" s="183"/>
      <c r="AH1177" s="183"/>
      <c r="AI1177" s="183"/>
      <c r="AJ1177" s="183"/>
      <c r="AK1177" s="183"/>
      <c r="AL1177" s="183"/>
      <c r="AM1177" s="183"/>
      <c r="AN1177" s="183"/>
    </row>
    <row r="1178" spans="1:40" ht="13" customHeight="1">
      <c r="A1178" s="183"/>
      <c r="B1178" s="183"/>
      <c r="C1178" s="183"/>
      <c r="D1178" s="183"/>
      <c r="E1178" s="183"/>
      <c r="F1178" s="183"/>
      <c r="G1178" s="183"/>
      <c r="H1178" s="183"/>
      <c r="I1178" s="183"/>
      <c r="J1178" s="183"/>
      <c r="K1178" s="183"/>
      <c r="L1178" s="183"/>
      <c r="M1178" s="183"/>
      <c r="N1178" s="183"/>
      <c r="O1178" s="183"/>
      <c r="P1178" s="183"/>
      <c r="Q1178" s="183"/>
      <c r="R1178" s="183"/>
      <c r="S1178" s="183"/>
      <c r="T1178" s="183"/>
      <c r="U1178" s="183"/>
      <c r="V1178" s="183"/>
      <c r="W1178" s="183"/>
      <c r="X1178" s="183"/>
      <c r="Y1178" s="183"/>
      <c r="Z1178" s="183"/>
      <c r="AA1178" s="183"/>
      <c r="AB1178" s="183"/>
      <c r="AC1178" s="183"/>
      <c r="AD1178" s="183"/>
      <c r="AE1178" s="183"/>
      <c r="AF1178" s="183"/>
      <c r="AG1178" s="183"/>
      <c r="AH1178" s="183"/>
      <c r="AI1178" s="183"/>
      <c r="AJ1178" s="183"/>
      <c r="AK1178" s="183"/>
      <c r="AL1178" s="183"/>
      <c r="AM1178" s="183"/>
      <c r="AN1178" s="183"/>
    </row>
    <row r="1179" spans="1:40" ht="13" customHeight="1">
      <c r="A1179" s="183"/>
      <c r="B1179" s="183"/>
      <c r="C1179" s="183"/>
      <c r="D1179" s="183"/>
      <c r="E1179" s="183"/>
      <c r="F1179" s="183"/>
      <c r="G1179" s="183"/>
      <c r="H1179" s="183"/>
      <c r="I1179" s="183"/>
      <c r="J1179" s="183"/>
      <c r="K1179" s="183"/>
      <c r="L1179" s="183"/>
      <c r="M1179" s="183"/>
      <c r="N1179" s="183"/>
      <c r="O1179" s="183"/>
      <c r="P1179" s="183"/>
      <c r="Q1179" s="183"/>
      <c r="R1179" s="183"/>
      <c r="S1179" s="183"/>
      <c r="T1179" s="183"/>
      <c r="U1179" s="183"/>
      <c r="V1179" s="183"/>
      <c r="W1179" s="183"/>
      <c r="X1179" s="183"/>
      <c r="Y1179" s="183"/>
      <c r="Z1179" s="183"/>
      <c r="AA1179" s="183"/>
      <c r="AB1179" s="183"/>
      <c r="AC1179" s="183"/>
      <c r="AD1179" s="183"/>
      <c r="AE1179" s="183"/>
      <c r="AF1179" s="183"/>
      <c r="AG1179" s="183"/>
      <c r="AH1179" s="183"/>
      <c r="AI1179" s="183"/>
      <c r="AJ1179" s="183"/>
      <c r="AK1179" s="183"/>
      <c r="AL1179" s="183"/>
      <c r="AM1179" s="183"/>
      <c r="AN1179" s="183"/>
    </row>
    <row r="1180" spans="1:40" ht="13" customHeight="1">
      <c r="A1180" s="183"/>
      <c r="B1180" s="183"/>
      <c r="C1180" s="183"/>
      <c r="D1180" s="183"/>
      <c r="E1180" s="183"/>
      <c r="F1180" s="183"/>
      <c r="G1180" s="183"/>
      <c r="H1180" s="183"/>
      <c r="I1180" s="183"/>
      <c r="J1180" s="183"/>
      <c r="K1180" s="183"/>
      <c r="L1180" s="183"/>
      <c r="M1180" s="183"/>
      <c r="N1180" s="183"/>
      <c r="O1180" s="183"/>
      <c r="P1180" s="183"/>
      <c r="Q1180" s="183"/>
      <c r="R1180" s="183"/>
      <c r="S1180" s="183"/>
      <c r="T1180" s="183"/>
      <c r="U1180" s="183"/>
      <c r="V1180" s="183"/>
      <c r="W1180" s="183"/>
      <c r="X1180" s="183"/>
      <c r="Y1180" s="183"/>
      <c r="Z1180" s="183"/>
      <c r="AA1180" s="183"/>
      <c r="AB1180" s="183"/>
      <c r="AC1180" s="183"/>
      <c r="AD1180" s="183"/>
      <c r="AE1180" s="183"/>
      <c r="AF1180" s="183"/>
      <c r="AG1180" s="183"/>
      <c r="AH1180" s="183"/>
      <c r="AI1180" s="183"/>
      <c r="AJ1180" s="183"/>
      <c r="AK1180" s="183"/>
      <c r="AL1180" s="183"/>
      <c r="AM1180" s="183"/>
      <c r="AN1180" s="183"/>
    </row>
    <row r="1181" spans="1:40" ht="13" customHeight="1">
      <c r="A1181" s="183"/>
      <c r="B1181" s="183"/>
      <c r="C1181" s="183"/>
      <c r="D1181" s="183"/>
      <c r="E1181" s="183"/>
      <c r="F1181" s="183"/>
      <c r="G1181" s="183"/>
      <c r="H1181" s="183"/>
      <c r="I1181" s="183"/>
      <c r="J1181" s="183"/>
      <c r="K1181" s="183"/>
      <c r="L1181" s="183"/>
      <c r="M1181" s="183"/>
      <c r="N1181" s="183"/>
      <c r="O1181" s="183"/>
      <c r="P1181" s="183"/>
      <c r="Q1181" s="183"/>
      <c r="R1181" s="183"/>
      <c r="S1181" s="183"/>
      <c r="T1181" s="183"/>
      <c r="U1181" s="183"/>
      <c r="V1181" s="183"/>
      <c r="W1181" s="183"/>
      <c r="X1181" s="183"/>
      <c r="Y1181" s="183"/>
      <c r="Z1181" s="183"/>
      <c r="AA1181" s="183"/>
      <c r="AB1181" s="183"/>
      <c r="AC1181" s="183"/>
      <c r="AD1181" s="183"/>
      <c r="AE1181" s="183"/>
      <c r="AF1181" s="183"/>
      <c r="AG1181" s="183"/>
      <c r="AH1181" s="183"/>
      <c r="AI1181" s="183"/>
      <c r="AJ1181" s="183"/>
      <c r="AK1181" s="183"/>
      <c r="AL1181" s="183"/>
      <c r="AM1181" s="183"/>
      <c r="AN1181" s="183"/>
    </row>
    <row r="1182" spans="1:40" ht="13" customHeight="1">
      <c r="A1182" s="183"/>
      <c r="B1182" s="183"/>
      <c r="C1182" s="183"/>
      <c r="D1182" s="183"/>
      <c r="E1182" s="183"/>
      <c r="F1182" s="183"/>
      <c r="G1182" s="183"/>
      <c r="H1182" s="183"/>
      <c r="I1182" s="183"/>
      <c r="J1182" s="183"/>
      <c r="K1182" s="183"/>
      <c r="L1182" s="183"/>
      <c r="M1182" s="183"/>
      <c r="N1182" s="183"/>
      <c r="O1182" s="183"/>
      <c r="P1182" s="183"/>
      <c r="Q1182" s="183"/>
      <c r="R1182" s="183"/>
      <c r="S1182" s="183"/>
      <c r="T1182" s="183"/>
      <c r="U1182" s="183"/>
      <c r="V1182" s="183"/>
      <c r="W1182" s="183"/>
      <c r="X1182" s="183"/>
      <c r="Y1182" s="183"/>
      <c r="Z1182" s="183"/>
      <c r="AA1182" s="183"/>
      <c r="AB1182" s="183"/>
      <c r="AC1182" s="183"/>
      <c r="AD1182" s="183"/>
      <c r="AE1182" s="183"/>
      <c r="AF1182" s="183"/>
      <c r="AG1182" s="183"/>
      <c r="AH1182" s="183"/>
      <c r="AI1182" s="183"/>
      <c r="AJ1182" s="183"/>
      <c r="AK1182" s="183"/>
      <c r="AL1182" s="183"/>
      <c r="AM1182" s="183"/>
      <c r="AN1182" s="183"/>
    </row>
    <row r="1183" spans="1:40" ht="13" customHeight="1">
      <c r="A1183" s="183"/>
      <c r="B1183" s="183"/>
      <c r="C1183" s="183"/>
      <c r="D1183" s="183"/>
      <c r="E1183" s="183"/>
      <c r="F1183" s="183"/>
      <c r="G1183" s="183"/>
      <c r="H1183" s="183"/>
      <c r="I1183" s="183"/>
      <c r="J1183" s="183"/>
      <c r="K1183" s="183"/>
      <c r="L1183" s="183"/>
      <c r="M1183" s="183"/>
      <c r="N1183" s="183"/>
      <c r="O1183" s="183"/>
      <c r="P1183" s="183"/>
      <c r="Q1183" s="183"/>
      <c r="R1183" s="183"/>
      <c r="S1183" s="183"/>
      <c r="T1183" s="183"/>
      <c r="U1183" s="183"/>
      <c r="V1183" s="183"/>
      <c r="W1183" s="183"/>
      <c r="X1183" s="183"/>
      <c r="Y1183" s="183"/>
      <c r="Z1183" s="183"/>
      <c r="AA1183" s="183"/>
      <c r="AB1183" s="183"/>
      <c r="AC1183" s="183"/>
      <c r="AD1183" s="183"/>
      <c r="AE1183" s="183"/>
      <c r="AF1183" s="183"/>
      <c r="AG1183" s="183"/>
      <c r="AH1183" s="183"/>
      <c r="AI1183" s="183"/>
      <c r="AJ1183" s="183"/>
      <c r="AK1183" s="183"/>
      <c r="AL1183" s="183"/>
      <c r="AM1183" s="183"/>
      <c r="AN1183" s="183"/>
    </row>
    <row r="1184" spans="1:40" ht="13" customHeight="1">
      <c r="A1184" s="183"/>
      <c r="B1184" s="183"/>
      <c r="C1184" s="183"/>
      <c r="D1184" s="183"/>
      <c r="E1184" s="183"/>
      <c r="F1184" s="183"/>
      <c r="G1184" s="183"/>
      <c r="H1184" s="183"/>
      <c r="I1184" s="183"/>
      <c r="J1184" s="183"/>
      <c r="K1184" s="183"/>
      <c r="L1184" s="183"/>
      <c r="M1184" s="183"/>
      <c r="N1184" s="183"/>
      <c r="O1184" s="183"/>
      <c r="P1184" s="183"/>
      <c r="Q1184" s="183"/>
      <c r="R1184" s="183"/>
      <c r="S1184" s="183"/>
      <c r="T1184" s="183"/>
      <c r="U1184" s="183"/>
      <c r="V1184" s="183"/>
      <c r="W1184" s="183"/>
      <c r="X1184" s="183"/>
      <c r="Y1184" s="183"/>
      <c r="Z1184" s="183"/>
      <c r="AA1184" s="183"/>
      <c r="AB1184" s="183"/>
      <c r="AC1184" s="183"/>
      <c r="AD1184" s="183"/>
      <c r="AE1184" s="183"/>
      <c r="AF1184" s="183"/>
      <c r="AG1184" s="183"/>
      <c r="AH1184" s="183"/>
      <c r="AI1184" s="183"/>
      <c r="AJ1184" s="183"/>
      <c r="AK1184" s="183"/>
      <c r="AL1184" s="183"/>
      <c r="AM1184" s="183"/>
      <c r="AN1184" s="183"/>
    </row>
    <row r="1185" spans="1:40" ht="13" customHeight="1">
      <c r="A1185" s="183"/>
      <c r="B1185" s="183"/>
      <c r="C1185" s="183"/>
      <c r="D1185" s="183"/>
      <c r="E1185" s="183"/>
      <c r="F1185" s="183"/>
      <c r="G1185" s="183"/>
      <c r="H1185" s="183"/>
      <c r="I1185" s="183"/>
      <c r="J1185" s="183"/>
      <c r="K1185" s="183"/>
      <c r="L1185" s="183"/>
      <c r="M1185" s="183"/>
      <c r="N1185" s="183"/>
      <c r="O1185" s="183"/>
      <c r="P1185" s="183"/>
      <c r="Q1185" s="183"/>
      <c r="R1185" s="183"/>
      <c r="S1185" s="183"/>
      <c r="T1185" s="183"/>
      <c r="U1185" s="183"/>
      <c r="V1185" s="183"/>
      <c r="W1185" s="183"/>
      <c r="X1185" s="183"/>
      <c r="Y1185" s="183"/>
      <c r="Z1185" s="183"/>
      <c r="AA1185" s="183"/>
      <c r="AB1185" s="183"/>
      <c r="AC1185" s="183"/>
      <c r="AD1185" s="183"/>
      <c r="AE1185" s="183"/>
      <c r="AF1185" s="183"/>
      <c r="AG1185" s="183"/>
      <c r="AH1185" s="183"/>
      <c r="AI1185" s="183"/>
      <c r="AJ1185" s="183"/>
      <c r="AK1185" s="183"/>
      <c r="AL1185" s="183"/>
      <c r="AM1185" s="183"/>
      <c r="AN1185" s="183"/>
    </row>
  </sheetData>
  <autoFilter ref="A4:AZ468" xr:uid="{00000000-0009-0000-0000-000002000000}"/>
  <mergeCells count="12">
    <mergeCell ref="L3:AZ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hyperlinks>
    <hyperlink ref="I1" location="Оглавление!A1" display="Назад в оглавление" xr:uid="{00000000-0004-0000-0200-000000000000}"/>
  </hyperlinks>
  <pageMargins left="0.7" right="0.7" top="0.75" bottom="0.75" header="0.3" footer="0.3"/>
  <ignoredErrors>
    <ignoredError sqref="L400:L401 L350:L353 L334:L335 K278 L279 N85 N81 M156 L196 K283 K273:L273 L274 L270 K268 N283:O283 M268:P268 L191:M191 Q186 Q181 M175 O42" formula="1"/>
  </ignoredErrors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186"/>
  <sheetViews>
    <sheetView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3" customHeight="1"/>
  <cols>
    <col min="1" max="1" width="31.36328125" customWidth="1"/>
    <col min="2" max="2" width="34.08984375" customWidth="1"/>
    <col min="3" max="3" width="8.984375E-2" customWidth="1"/>
    <col min="4" max="4" width="15.08984375" customWidth="1"/>
    <col min="5" max="5" width="35.54296875" customWidth="1"/>
    <col min="6" max="6" width="12.36328125" customWidth="1"/>
    <col min="7" max="7" width="13.90625" customWidth="1"/>
    <col min="8" max="8" width="8.984375E-2" hidden="1" customWidth="1"/>
    <col min="9" max="9" width="53.81640625" customWidth="1"/>
    <col min="10" max="10" width="15.90625" customWidth="1"/>
    <col min="11" max="11" width="9.36328125" customWidth="1"/>
    <col min="12" max="12" width="13.90625" customWidth="1"/>
    <col min="13" max="14" width="12.81640625" customWidth="1"/>
    <col min="15" max="15" width="12.08984375" customWidth="1"/>
    <col min="16" max="17" width="12.54296875" customWidth="1"/>
    <col min="18" max="18" width="13.08984375" customWidth="1"/>
    <col min="19" max="19" width="12.6328125" customWidth="1"/>
  </cols>
  <sheetData>
    <row r="1" spans="1:72" ht="18" customHeight="1">
      <c r="A1" s="1" t="s">
        <v>16</v>
      </c>
      <c r="B1" s="1"/>
      <c r="C1" s="2"/>
      <c r="D1" s="2"/>
      <c r="E1" s="2"/>
      <c r="F1" s="2"/>
      <c r="G1" s="3"/>
      <c r="H1" s="3"/>
      <c r="I1" s="3" t="s">
        <v>20</v>
      </c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</row>
    <row r="2" spans="1:72" ht="18" customHeight="1">
      <c r="A2" s="6" t="s">
        <v>39</v>
      </c>
      <c r="B2" s="6"/>
      <c r="C2" s="6"/>
      <c r="D2" s="7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</row>
    <row r="3" spans="1:72" ht="13" customHeight="1">
      <c r="A3" s="281" t="s">
        <v>40</v>
      </c>
      <c r="B3" s="283" t="s">
        <v>41</v>
      </c>
      <c r="C3" s="285" t="s">
        <v>42</v>
      </c>
      <c r="D3" s="283" t="s">
        <v>43</v>
      </c>
      <c r="E3" s="281" t="s">
        <v>44</v>
      </c>
      <c r="F3" s="285" t="s">
        <v>45</v>
      </c>
      <c r="G3" s="285" t="s">
        <v>46</v>
      </c>
      <c r="H3" s="285" t="s">
        <v>47</v>
      </c>
      <c r="I3" s="285" t="s">
        <v>48</v>
      </c>
      <c r="J3" s="281" t="s">
        <v>49</v>
      </c>
      <c r="K3" s="281" t="s">
        <v>50</v>
      </c>
      <c r="L3" s="278" t="s">
        <v>420</v>
      </c>
      <c r="M3" s="279"/>
      <c r="N3" s="279"/>
      <c r="O3" s="279"/>
      <c r="P3" s="279"/>
      <c r="Q3" s="279"/>
      <c r="R3" s="279"/>
      <c r="S3" s="280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</row>
    <row r="4" spans="1:72" ht="13" customHeight="1">
      <c r="A4" s="282"/>
      <c r="B4" s="284"/>
      <c r="C4" s="286"/>
      <c r="D4" s="284"/>
      <c r="E4" s="282"/>
      <c r="F4" s="286"/>
      <c r="G4" s="286"/>
      <c r="H4" s="286"/>
      <c r="I4" s="286"/>
      <c r="J4" s="282"/>
      <c r="K4" s="282"/>
      <c r="L4" s="8" t="s">
        <v>421</v>
      </c>
      <c r="M4" s="9" t="s">
        <v>422</v>
      </c>
      <c r="N4" s="9" t="s">
        <v>423</v>
      </c>
      <c r="O4" s="9" t="s">
        <v>424</v>
      </c>
      <c r="P4" s="9" t="s">
        <v>425</v>
      </c>
      <c r="Q4" s="10" t="s">
        <v>426</v>
      </c>
      <c r="R4" s="11" t="s">
        <v>427</v>
      </c>
      <c r="S4" s="12" t="s">
        <v>428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</row>
    <row r="5" spans="1:72" ht="13" customHeight="1">
      <c r="A5" s="13" t="s">
        <v>93</v>
      </c>
      <c r="B5" s="13" t="s">
        <v>94</v>
      </c>
      <c r="C5" s="14" t="s">
        <v>95</v>
      </c>
      <c r="D5" s="14" t="s">
        <v>96</v>
      </c>
      <c r="E5" s="15"/>
      <c r="F5" s="15"/>
      <c r="G5" s="15"/>
      <c r="H5" s="16"/>
      <c r="I5" s="17" t="s">
        <v>97</v>
      </c>
      <c r="J5" s="18" t="s">
        <v>98</v>
      </c>
      <c r="K5" s="19">
        <f>1</f>
        <v>1</v>
      </c>
      <c r="L5" s="20">
        <f>1.168</f>
        <v>1.1679999999999999</v>
      </c>
      <c r="M5" s="21">
        <f>1.602</f>
        <v>1.6020000000000001</v>
      </c>
      <c r="N5" s="21">
        <f>1.925</f>
        <v>1.925</v>
      </c>
      <c r="O5" s="22"/>
      <c r="P5" s="22"/>
      <c r="Q5" s="22"/>
      <c r="R5" s="22"/>
      <c r="S5" s="23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</row>
    <row r="6" spans="1:72" ht="13" customHeight="1">
      <c r="A6" s="24" t="s">
        <v>93</v>
      </c>
      <c r="B6" s="24" t="s">
        <v>94</v>
      </c>
      <c r="C6" s="25" t="s">
        <v>95</v>
      </c>
      <c r="D6" s="25" t="s">
        <v>96</v>
      </c>
      <c r="E6" s="26"/>
      <c r="F6" s="26"/>
      <c r="G6" s="26"/>
      <c r="H6" s="27"/>
      <c r="I6" s="28" t="s">
        <v>99</v>
      </c>
      <c r="J6" s="29" t="s">
        <v>100</v>
      </c>
      <c r="K6" s="30"/>
      <c r="L6" s="31"/>
      <c r="M6" s="26"/>
      <c r="N6" s="26">
        <f>125336.5</f>
        <v>125336.5</v>
      </c>
      <c r="O6" s="26"/>
      <c r="P6" s="26"/>
      <c r="Q6" s="26"/>
      <c r="R6" s="26"/>
      <c r="S6" s="32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</row>
    <row r="7" spans="1:72" ht="13" customHeight="1">
      <c r="A7" s="24" t="s">
        <v>93</v>
      </c>
      <c r="B7" s="24" t="s">
        <v>94</v>
      </c>
      <c r="C7" s="25" t="s">
        <v>95</v>
      </c>
      <c r="D7" s="25" t="s">
        <v>96</v>
      </c>
      <c r="E7" s="26"/>
      <c r="F7" s="26"/>
      <c r="G7" s="26"/>
      <c r="H7" s="27"/>
      <c r="I7" s="28" t="s">
        <v>101</v>
      </c>
      <c r="J7" s="29" t="s">
        <v>100</v>
      </c>
      <c r="K7" s="30"/>
      <c r="L7" s="31"/>
      <c r="M7" s="26"/>
      <c r="N7" s="26">
        <f>24031.3</f>
        <v>24031.3</v>
      </c>
      <c r="O7" s="26"/>
      <c r="P7" s="26"/>
      <c r="Q7" s="26"/>
      <c r="R7" s="26"/>
      <c r="S7" s="32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</row>
    <row r="8" spans="1:72" ht="13" customHeight="1">
      <c r="A8" s="24" t="s">
        <v>93</v>
      </c>
      <c r="B8" s="24" t="s">
        <v>94</v>
      </c>
      <c r="C8" s="25" t="s">
        <v>95</v>
      </c>
      <c r="D8" s="25" t="s">
        <v>96</v>
      </c>
      <c r="E8" s="26"/>
      <c r="F8" s="26"/>
      <c r="G8" s="26"/>
      <c r="H8" s="27"/>
      <c r="I8" s="33" t="s">
        <v>102</v>
      </c>
      <c r="J8" s="29" t="s">
        <v>100</v>
      </c>
      <c r="K8" s="30"/>
      <c r="L8" s="31"/>
      <c r="M8" s="26"/>
      <c r="N8" s="26">
        <f>58121.6</f>
        <v>58121.599999999999</v>
      </c>
      <c r="O8" s="26"/>
      <c r="P8" s="26"/>
      <c r="Q8" s="26"/>
      <c r="R8" s="26"/>
      <c r="S8" s="32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</row>
    <row r="9" spans="1:72" ht="13" customHeight="1">
      <c r="A9" s="24" t="s">
        <v>93</v>
      </c>
      <c r="B9" s="24" t="s">
        <v>94</v>
      </c>
      <c r="C9" s="25" t="s">
        <v>95</v>
      </c>
      <c r="D9" s="25" t="s">
        <v>96</v>
      </c>
      <c r="E9" s="26"/>
      <c r="F9" s="26"/>
      <c r="G9" s="26"/>
      <c r="H9" s="27"/>
      <c r="I9" s="33" t="s">
        <v>103</v>
      </c>
      <c r="J9" s="29" t="s">
        <v>100</v>
      </c>
      <c r="K9" s="30">
        <f>72395</f>
        <v>72395</v>
      </c>
      <c r="L9" s="31"/>
      <c r="M9" s="26"/>
      <c r="N9" s="26">
        <f>92690.1</f>
        <v>92690.1</v>
      </c>
      <c r="O9" s="26"/>
      <c r="P9" s="26"/>
      <c r="Q9" s="26"/>
      <c r="R9" s="26"/>
      <c r="S9" s="32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</row>
    <row r="10" spans="1:72" ht="13" customHeight="1">
      <c r="A10" s="24" t="s">
        <v>93</v>
      </c>
      <c r="B10" s="24" t="s">
        <v>94</v>
      </c>
      <c r="C10" s="25" t="s">
        <v>95</v>
      </c>
      <c r="D10" s="25" t="s">
        <v>96</v>
      </c>
      <c r="E10" s="26"/>
      <c r="F10" s="26"/>
      <c r="G10" s="26"/>
      <c r="H10" s="27"/>
      <c r="I10" s="28" t="s">
        <v>104</v>
      </c>
      <c r="J10" s="29" t="s">
        <v>100</v>
      </c>
      <c r="K10" s="30"/>
      <c r="L10" s="31"/>
      <c r="M10" s="26"/>
      <c r="N10" s="26">
        <f>77054.7</f>
        <v>77054.7</v>
      </c>
      <c r="O10" s="26"/>
      <c r="P10" s="26"/>
      <c r="Q10" s="26"/>
      <c r="R10" s="26"/>
      <c r="S10" s="32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</row>
    <row r="11" spans="1:72" ht="13" customHeight="1">
      <c r="A11" s="24" t="s">
        <v>93</v>
      </c>
      <c r="B11" s="24" t="s">
        <v>94</v>
      </c>
      <c r="C11" s="25" t="s">
        <v>95</v>
      </c>
      <c r="D11" s="25" t="s">
        <v>96</v>
      </c>
      <c r="E11" s="26"/>
      <c r="F11" s="26"/>
      <c r="G11" s="26"/>
      <c r="H11" s="27"/>
      <c r="I11" s="33" t="s">
        <v>105</v>
      </c>
      <c r="J11" s="29" t="s">
        <v>100</v>
      </c>
      <c r="K11" s="30"/>
      <c r="L11" s="31"/>
      <c r="M11" s="26"/>
      <c r="N11" s="34">
        <f>18150</f>
        <v>18150</v>
      </c>
      <c r="O11" s="26"/>
      <c r="P11" s="26"/>
      <c r="Q11" s="26"/>
      <c r="R11" s="26"/>
      <c r="S11" s="32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</row>
    <row r="12" spans="1:72" ht="13" customHeight="1">
      <c r="A12" s="24" t="s">
        <v>93</v>
      </c>
      <c r="B12" s="24" t="s">
        <v>94</v>
      </c>
      <c r="C12" s="25" t="s">
        <v>95</v>
      </c>
      <c r="D12" s="25" t="s">
        <v>96</v>
      </c>
      <c r="E12" s="26"/>
      <c r="F12" s="26"/>
      <c r="G12" s="26"/>
      <c r="H12" s="27"/>
      <c r="I12" s="33" t="s">
        <v>106</v>
      </c>
      <c r="J12" s="29" t="s">
        <v>100</v>
      </c>
      <c r="K12" s="30">
        <f>3830</f>
        <v>3830</v>
      </c>
      <c r="L12" s="31"/>
      <c r="M12" s="26"/>
      <c r="N12" s="26">
        <f>4709.3</f>
        <v>4709.3</v>
      </c>
      <c r="O12" s="26"/>
      <c r="P12" s="26"/>
      <c r="Q12" s="26"/>
      <c r="R12" s="26"/>
      <c r="S12" s="32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</row>
    <row r="13" spans="1:72" ht="13" customHeight="1">
      <c r="A13" s="24" t="s">
        <v>93</v>
      </c>
      <c r="B13" s="24" t="s">
        <v>94</v>
      </c>
      <c r="C13" s="25" t="s">
        <v>95</v>
      </c>
      <c r="D13" s="25" t="s">
        <v>96</v>
      </c>
      <c r="E13" s="26"/>
      <c r="F13" s="26"/>
      <c r="G13" s="26"/>
      <c r="H13" s="27"/>
      <c r="I13" s="33" t="s">
        <v>107</v>
      </c>
      <c r="J13" s="29" t="s">
        <v>100</v>
      </c>
      <c r="K13" s="30"/>
      <c r="L13" s="31"/>
      <c r="M13" s="26"/>
      <c r="N13" s="26">
        <f>1022.7</f>
        <v>1022.7</v>
      </c>
      <c r="O13" s="26"/>
      <c r="P13" s="26"/>
      <c r="Q13" s="26"/>
      <c r="R13" s="26"/>
      <c r="S13" s="32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</row>
    <row r="14" spans="1:72" ht="13" customHeight="1">
      <c r="A14" s="24" t="s">
        <v>93</v>
      </c>
      <c r="B14" s="24" t="s">
        <v>94</v>
      </c>
      <c r="C14" s="25" t="s">
        <v>95</v>
      </c>
      <c r="D14" s="25" t="s">
        <v>96</v>
      </c>
      <c r="E14" s="26"/>
      <c r="F14" s="26"/>
      <c r="G14" s="26"/>
      <c r="H14" s="27"/>
      <c r="I14" s="33" t="s">
        <v>108</v>
      </c>
      <c r="J14" s="29" t="s">
        <v>100</v>
      </c>
      <c r="K14" s="30"/>
      <c r="L14" s="31"/>
      <c r="M14" s="26"/>
      <c r="N14" s="26">
        <f>336.4</f>
        <v>336.4</v>
      </c>
      <c r="O14" s="26"/>
      <c r="P14" s="26"/>
      <c r="Q14" s="26"/>
      <c r="R14" s="26"/>
      <c r="S14" s="32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</row>
    <row r="15" spans="1:72" ht="13" customHeight="1">
      <c r="A15" s="24" t="s">
        <v>93</v>
      </c>
      <c r="B15" s="24" t="s">
        <v>94</v>
      </c>
      <c r="C15" s="25" t="s">
        <v>95</v>
      </c>
      <c r="D15" s="25" t="s">
        <v>96</v>
      </c>
      <c r="E15" s="26"/>
      <c r="F15" s="26"/>
      <c r="G15" s="26"/>
      <c r="H15" s="27"/>
      <c r="I15" s="33" t="s">
        <v>109</v>
      </c>
      <c r="J15" s="29" t="s">
        <v>100</v>
      </c>
      <c r="K15" s="30"/>
      <c r="L15" s="31"/>
      <c r="M15" s="26"/>
      <c r="N15" s="26">
        <f>310.3</f>
        <v>310.3</v>
      </c>
      <c r="O15" s="26"/>
      <c r="P15" s="26"/>
      <c r="Q15" s="26"/>
      <c r="R15" s="26"/>
      <c r="S15" s="32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</row>
    <row r="16" spans="1:72" ht="13" customHeight="1">
      <c r="A16" s="24" t="s">
        <v>93</v>
      </c>
      <c r="B16" s="24" t="s">
        <v>94</v>
      </c>
      <c r="C16" s="25" t="s">
        <v>95</v>
      </c>
      <c r="D16" s="25" t="s">
        <v>96</v>
      </c>
      <c r="E16" s="26"/>
      <c r="F16" s="26"/>
      <c r="G16" s="26"/>
      <c r="H16" s="27"/>
      <c r="I16" s="33" t="s">
        <v>110</v>
      </c>
      <c r="J16" s="29" t="s">
        <v>100</v>
      </c>
      <c r="K16" s="30"/>
      <c r="L16" s="31"/>
      <c r="M16" s="26"/>
      <c r="N16" s="26">
        <v>337.5</v>
      </c>
      <c r="O16" s="26"/>
      <c r="P16" s="26"/>
      <c r="Q16" s="26"/>
      <c r="R16" s="26"/>
      <c r="S16" s="32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</row>
    <row r="17" spans="1:72" ht="13" customHeight="1">
      <c r="A17" s="24" t="s">
        <v>93</v>
      </c>
      <c r="B17" s="24" t="s">
        <v>94</v>
      </c>
      <c r="C17" s="25" t="s">
        <v>95</v>
      </c>
      <c r="D17" s="25" t="s">
        <v>96</v>
      </c>
      <c r="E17" s="26"/>
      <c r="F17" s="26"/>
      <c r="G17" s="26"/>
      <c r="H17" s="27"/>
      <c r="I17" s="33" t="s">
        <v>111</v>
      </c>
      <c r="J17" s="29" t="s">
        <v>100</v>
      </c>
      <c r="K17" s="30"/>
      <c r="L17" s="31"/>
      <c r="M17" s="26"/>
      <c r="N17" s="26">
        <f>107.9</f>
        <v>107.9</v>
      </c>
      <c r="O17" s="26"/>
      <c r="P17" s="26"/>
      <c r="Q17" s="26"/>
      <c r="R17" s="26"/>
      <c r="S17" s="32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</row>
    <row r="18" spans="1:72" ht="13" customHeight="1">
      <c r="A18" s="24" t="s">
        <v>93</v>
      </c>
      <c r="B18" s="24" t="s">
        <v>94</v>
      </c>
      <c r="C18" s="25" t="s">
        <v>95</v>
      </c>
      <c r="D18" s="25" t="s">
        <v>96</v>
      </c>
      <c r="E18" s="26"/>
      <c r="F18" s="26"/>
      <c r="G18" s="26"/>
      <c r="H18" s="27"/>
      <c r="I18" s="33" t="s">
        <v>112</v>
      </c>
      <c r="J18" s="29" t="s">
        <v>100</v>
      </c>
      <c r="K18" s="30"/>
      <c r="L18" s="31"/>
      <c r="M18" s="26"/>
      <c r="N18" s="26">
        <f>3.6</f>
        <v>3.6</v>
      </c>
      <c r="O18" s="26"/>
      <c r="P18" s="26"/>
      <c r="Q18" s="26"/>
      <c r="R18" s="26"/>
      <c r="S18" s="32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</row>
    <row r="19" spans="1:72" ht="13" customHeight="1">
      <c r="A19" s="24" t="s">
        <v>93</v>
      </c>
      <c r="B19" s="24" t="s">
        <v>94</v>
      </c>
      <c r="C19" s="25" t="s">
        <v>95</v>
      </c>
      <c r="D19" s="25" t="s">
        <v>96</v>
      </c>
      <c r="E19" s="26"/>
      <c r="F19" s="26"/>
      <c r="G19" s="26"/>
      <c r="H19" s="27"/>
      <c r="I19" s="33" t="s">
        <v>113</v>
      </c>
      <c r="J19" s="29" t="s">
        <v>100</v>
      </c>
      <c r="K19" s="30">
        <f>19224</f>
        <v>19224</v>
      </c>
      <c r="L19" s="31"/>
      <c r="M19" s="26"/>
      <c r="N19" s="26">
        <f>33400</f>
        <v>33400</v>
      </c>
      <c r="O19" s="26"/>
      <c r="P19" s="26"/>
      <c r="Q19" s="26"/>
      <c r="R19" s="26"/>
      <c r="S19" s="32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</row>
    <row r="20" spans="1:72" ht="13" customHeight="1">
      <c r="A20" s="24" t="s">
        <v>93</v>
      </c>
      <c r="B20" s="24" t="s">
        <v>94</v>
      </c>
      <c r="C20" s="25" t="s">
        <v>95</v>
      </c>
      <c r="D20" s="25" t="s">
        <v>96</v>
      </c>
      <c r="E20" s="26"/>
      <c r="F20" s="26"/>
      <c r="G20" s="26"/>
      <c r="H20" s="27"/>
      <c r="I20" s="28" t="s">
        <v>114</v>
      </c>
      <c r="J20" s="29" t="s">
        <v>100</v>
      </c>
      <c r="K20" s="30"/>
      <c r="L20" s="31"/>
      <c r="M20" s="26"/>
      <c r="N20" s="26">
        <f>52635</f>
        <v>52635</v>
      </c>
      <c r="O20" s="26"/>
      <c r="P20" s="26"/>
      <c r="Q20" s="26"/>
      <c r="R20" s="26"/>
      <c r="S20" s="32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</row>
    <row r="21" spans="1:72" ht="13" customHeight="1">
      <c r="A21" s="24" t="s">
        <v>93</v>
      </c>
      <c r="B21" s="24" t="s">
        <v>94</v>
      </c>
      <c r="C21" s="25" t="s">
        <v>95</v>
      </c>
      <c r="D21" s="25" t="s">
        <v>96</v>
      </c>
      <c r="E21" s="26"/>
      <c r="F21" s="26"/>
      <c r="G21" s="26"/>
      <c r="H21" s="27"/>
      <c r="I21" s="35" t="s">
        <v>115</v>
      </c>
      <c r="J21" s="29" t="s">
        <v>100</v>
      </c>
      <c r="K21" s="30">
        <f>10913</f>
        <v>10913</v>
      </c>
      <c r="L21" s="31"/>
      <c r="M21" s="26"/>
      <c r="N21" s="26">
        <f>22058</f>
        <v>22058</v>
      </c>
      <c r="O21" s="26"/>
      <c r="P21" s="26"/>
      <c r="Q21" s="26"/>
      <c r="R21" s="26"/>
      <c r="S21" s="32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</row>
    <row r="22" spans="1:72" ht="13" customHeight="1">
      <c r="A22" s="24" t="s">
        <v>93</v>
      </c>
      <c r="B22" s="24" t="s">
        <v>94</v>
      </c>
      <c r="C22" s="25" t="s">
        <v>95</v>
      </c>
      <c r="D22" s="25" t="s">
        <v>96</v>
      </c>
      <c r="E22" s="26"/>
      <c r="F22" s="26"/>
      <c r="G22" s="26"/>
      <c r="H22" s="27"/>
      <c r="I22" s="35" t="s">
        <v>116</v>
      </c>
      <c r="J22" s="29" t="s">
        <v>100</v>
      </c>
      <c r="K22" s="30"/>
      <c r="L22" s="31"/>
      <c r="M22" s="26"/>
      <c r="N22" s="26">
        <f>7000</f>
        <v>7000</v>
      </c>
      <c r="O22" s="26"/>
      <c r="P22" s="26"/>
      <c r="Q22" s="26"/>
      <c r="R22" s="26"/>
      <c r="S22" s="32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</row>
    <row r="23" spans="1:72" ht="13" customHeight="1">
      <c r="A23" s="24" t="s">
        <v>93</v>
      </c>
      <c r="B23" s="24" t="s">
        <v>94</v>
      </c>
      <c r="C23" s="25" t="s">
        <v>95</v>
      </c>
      <c r="D23" s="25" t="s">
        <v>96</v>
      </c>
      <c r="E23" s="26"/>
      <c r="F23" s="26"/>
      <c r="G23" s="26"/>
      <c r="H23" s="27"/>
      <c r="I23" s="35" t="s">
        <v>117</v>
      </c>
      <c r="J23" s="29" t="s">
        <v>100</v>
      </c>
      <c r="K23" s="30"/>
      <c r="L23" s="31"/>
      <c r="M23" s="26"/>
      <c r="N23" s="26">
        <v>24907</v>
      </c>
      <c r="O23" s="26"/>
      <c r="P23" s="26"/>
      <c r="Q23" s="26"/>
      <c r="R23" s="26"/>
      <c r="S23" s="32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</row>
    <row r="24" spans="1:72" ht="13" customHeight="1">
      <c r="A24" s="24" t="s">
        <v>93</v>
      </c>
      <c r="B24" s="24" t="s">
        <v>94</v>
      </c>
      <c r="C24" s="25" t="s">
        <v>95</v>
      </c>
      <c r="D24" s="25" t="s">
        <v>96</v>
      </c>
      <c r="E24" s="26"/>
      <c r="F24" s="26"/>
      <c r="G24" s="26"/>
      <c r="H24" s="27"/>
      <c r="I24" s="33" t="s">
        <v>118</v>
      </c>
      <c r="J24" s="29" t="s">
        <v>100</v>
      </c>
      <c r="K24" s="30"/>
      <c r="L24" s="31"/>
      <c r="M24" s="26"/>
      <c r="N24" s="26">
        <f>10500</f>
        <v>10500</v>
      </c>
      <c r="O24" s="26"/>
      <c r="P24" s="26"/>
      <c r="Q24" s="26"/>
      <c r="R24" s="26"/>
      <c r="S24" s="32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</row>
    <row r="25" spans="1:72" ht="13" customHeight="1">
      <c r="A25" s="24" t="s">
        <v>93</v>
      </c>
      <c r="B25" s="24" t="s">
        <v>94</v>
      </c>
      <c r="C25" s="25" t="s">
        <v>95</v>
      </c>
      <c r="D25" s="25" t="s">
        <v>96</v>
      </c>
      <c r="E25" s="26"/>
      <c r="F25" s="26"/>
      <c r="G25" s="26"/>
      <c r="H25" s="27"/>
      <c r="I25" s="33" t="s">
        <v>119</v>
      </c>
      <c r="J25" s="29" t="s">
        <v>100</v>
      </c>
      <c r="K25" s="30"/>
      <c r="L25" s="31"/>
      <c r="M25" s="26"/>
      <c r="N25" s="26">
        <f>1350</f>
        <v>1350</v>
      </c>
      <c r="O25" s="26"/>
      <c r="P25" s="26"/>
      <c r="Q25" s="26"/>
      <c r="R25" s="26"/>
      <c r="S25" s="32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</row>
    <row r="26" spans="1:72" ht="13" customHeight="1">
      <c r="A26" s="24" t="s">
        <v>93</v>
      </c>
      <c r="B26" s="24" t="s">
        <v>94</v>
      </c>
      <c r="C26" s="25" t="s">
        <v>95</v>
      </c>
      <c r="D26" s="25" t="s">
        <v>96</v>
      </c>
      <c r="E26" s="26"/>
      <c r="F26" s="26"/>
      <c r="G26" s="26"/>
      <c r="H26" s="27"/>
      <c r="I26" s="28" t="s">
        <v>120</v>
      </c>
      <c r="J26" s="29" t="s">
        <v>100</v>
      </c>
      <c r="K26" s="30"/>
      <c r="L26" s="31"/>
      <c r="M26" s="26"/>
      <c r="N26" s="26">
        <f>9600</f>
        <v>9600</v>
      </c>
      <c r="O26" s="26"/>
      <c r="P26" s="26"/>
      <c r="Q26" s="26"/>
      <c r="R26" s="26"/>
      <c r="S26" s="32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</row>
    <row r="27" spans="1:72" ht="13" customHeight="1">
      <c r="A27" s="24" t="s">
        <v>93</v>
      </c>
      <c r="B27" s="24" t="s">
        <v>94</v>
      </c>
      <c r="C27" s="25" t="s">
        <v>95</v>
      </c>
      <c r="D27" s="25" t="s">
        <v>96</v>
      </c>
      <c r="E27" s="26"/>
      <c r="F27" s="26"/>
      <c r="G27" s="26"/>
      <c r="H27" s="27"/>
      <c r="I27" s="33" t="s">
        <v>121</v>
      </c>
      <c r="J27" s="29" t="s">
        <v>100</v>
      </c>
      <c r="K27" s="30"/>
      <c r="L27" s="31"/>
      <c r="M27" s="26"/>
      <c r="N27" s="26">
        <f>5056</f>
        <v>5056</v>
      </c>
      <c r="O27" s="26"/>
      <c r="P27" s="26"/>
      <c r="Q27" s="26"/>
      <c r="R27" s="26"/>
      <c r="S27" s="32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</row>
    <row r="28" spans="1:72" ht="13" customHeight="1">
      <c r="A28" s="24" t="s">
        <v>93</v>
      </c>
      <c r="B28" s="24" t="s">
        <v>94</v>
      </c>
      <c r="C28" s="25" t="s">
        <v>95</v>
      </c>
      <c r="D28" s="25" t="s">
        <v>96</v>
      </c>
      <c r="E28" s="26"/>
      <c r="F28" s="26"/>
      <c r="G28" s="26"/>
      <c r="H28" s="27"/>
      <c r="I28" s="28" t="s">
        <v>122</v>
      </c>
      <c r="J28" s="29" t="s">
        <v>100</v>
      </c>
      <c r="K28" s="30"/>
      <c r="L28" s="31"/>
      <c r="M28" s="26"/>
      <c r="N28" s="26">
        <f>7000</f>
        <v>7000</v>
      </c>
      <c r="O28" s="26"/>
      <c r="P28" s="26"/>
      <c r="Q28" s="26"/>
      <c r="R28" s="26"/>
      <c r="S28" s="32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</row>
    <row r="29" spans="1:72" ht="13" customHeight="1">
      <c r="A29" s="24" t="s">
        <v>93</v>
      </c>
      <c r="B29" s="24" t="s">
        <v>94</v>
      </c>
      <c r="C29" s="25" t="s">
        <v>95</v>
      </c>
      <c r="D29" s="25" t="s">
        <v>96</v>
      </c>
      <c r="E29" s="26"/>
      <c r="F29" s="26"/>
      <c r="G29" s="26"/>
      <c r="H29" s="27"/>
      <c r="I29" s="33" t="s">
        <v>123</v>
      </c>
      <c r="J29" s="29" t="s">
        <v>124</v>
      </c>
      <c r="K29" s="30"/>
      <c r="L29" s="31"/>
      <c r="M29" s="26"/>
      <c r="N29" s="26">
        <f>105600</f>
        <v>105600</v>
      </c>
      <c r="O29" s="26"/>
      <c r="P29" s="26"/>
      <c r="Q29" s="26"/>
      <c r="R29" s="26"/>
      <c r="S29" s="32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</row>
    <row r="30" spans="1:72" ht="13" customHeight="1">
      <c r="A30" s="24" t="s">
        <v>93</v>
      </c>
      <c r="B30" s="24" t="s">
        <v>94</v>
      </c>
      <c r="C30" s="25" t="s">
        <v>95</v>
      </c>
      <c r="D30" s="25" t="s">
        <v>96</v>
      </c>
      <c r="E30" s="26"/>
      <c r="F30" s="26"/>
      <c r="G30" s="26"/>
      <c r="H30" s="27"/>
      <c r="I30" s="28" t="s">
        <v>125</v>
      </c>
      <c r="J30" s="29" t="s">
        <v>100</v>
      </c>
      <c r="K30" s="30"/>
      <c r="L30" s="31"/>
      <c r="M30" s="26"/>
      <c r="N30" s="26">
        <f>30853</f>
        <v>30853</v>
      </c>
      <c r="O30" s="26"/>
      <c r="P30" s="26"/>
      <c r="Q30" s="26"/>
      <c r="R30" s="26"/>
      <c r="S30" s="32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</row>
    <row r="31" spans="1:72" ht="13" customHeight="1">
      <c r="A31" s="24" t="s">
        <v>93</v>
      </c>
      <c r="B31" s="24" t="s">
        <v>94</v>
      </c>
      <c r="C31" s="25" t="s">
        <v>95</v>
      </c>
      <c r="D31" s="25" t="s">
        <v>96</v>
      </c>
      <c r="E31" s="26"/>
      <c r="F31" s="26"/>
      <c r="G31" s="26"/>
      <c r="H31" s="27"/>
      <c r="I31" s="33" t="s">
        <v>126</v>
      </c>
      <c r="J31" s="29" t="s">
        <v>100</v>
      </c>
      <c r="K31" s="30"/>
      <c r="L31" s="31"/>
      <c r="M31" s="26"/>
      <c r="N31" s="26">
        <f>10767</f>
        <v>10767</v>
      </c>
      <c r="O31" s="26"/>
      <c r="P31" s="26"/>
      <c r="Q31" s="26"/>
      <c r="R31" s="26"/>
      <c r="S31" s="32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</row>
    <row r="32" spans="1:72" ht="13" customHeight="1">
      <c r="A32" s="24" t="s">
        <v>93</v>
      </c>
      <c r="B32" s="24" t="s">
        <v>94</v>
      </c>
      <c r="C32" s="25" t="s">
        <v>95</v>
      </c>
      <c r="D32" s="25" t="s">
        <v>96</v>
      </c>
      <c r="E32" s="26"/>
      <c r="F32" s="26"/>
      <c r="G32" s="26"/>
      <c r="H32" s="27"/>
      <c r="I32" s="28" t="s">
        <v>127</v>
      </c>
      <c r="J32" s="29" t="s">
        <v>100</v>
      </c>
      <c r="K32" s="30"/>
      <c r="L32" s="31"/>
      <c r="M32" s="26"/>
      <c r="N32" s="26">
        <f>2126</f>
        <v>2126</v>
      </c>
      <c r="O32" s="26"/>
      <c r="P32" s="26"/>
      <c r="Q32" s="26"/>
      <c r="R32" s="26"/>
      <c r="S32" s="32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</row>
    <row r="33" spans="1:72" ht="13" customHeight="1">
      <c r="A33" s="24" t="s">
        <v>93</v>
      </c>
      <c r="B33" s="24" t="s">
        <v>94</v>
      </c>
      <c r="C33" s="25" t="s">
        <v>95</v>
      </c>
      <c r="D33" s="25" t="s">
        <v>96</v>
      </c>
      <c r="E33" s="26"/>
      <c r="F33" s="26"/>
      <c r="G33" s="26"/>
      <c r="H33" s="27"/>
      <c r="I33" s="33" t="s">
        <v>128</v>
      </c>
      <c r="J33" s="29" t="s">
        <v>100</v>
      </c>
      <c r="K33" s="30">
        <f>57700</f>
        <v>57700</v>
      </c>
      <c r="L33" s="31"/>
      <c r="M33" s="26"/>
      <c r="N33" s="26">
        <f>90000</f>
        <v>90000</v>
      </c>
      <c r="O33" s="26"/>
      <c r="P33" s="26"/>
      <c r="Q33" s="26"/>
      <c r="R33" s="26"/>
      <c r="S33" s="32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</row>
    <row r="34" spans="1:72" ht="13" customHeight="1">
      <c r="A34" s="24" t="s">
        <v>93</v>
      </c>
      <c r="B34" s="24" t="s">
        <v>94</v>
      </c>
      <c r="C34" s="25" t="s">
        <v>95</v>
      </c>
      <c r="D34" s="25" t="s">
        <v>96</v>
      </c>
      <c r="E34" s="26"/>
      <c r="F34" s="26"/>
      <c r="G34" s="26"/>
      <c r="H34" s="27"/>
      <c r="I34" s="28" t="s">
        <v>129</v>
      </c>
      <c r="J34" s="29" t="s">
        <v>100</v>
      </c>
      <c r="K34" s="30"/>
      <c r="L34" s="31"/>
      <c r="M34" s="26"/>
      <c r="N34" s="26">
        <f>13500</f>
        <v>13500</v>
      </c>
      <c r="O34" s="26"/>
      <c r="P34" s="26"/>
      <c r="Q34" s="26"/>
      <c r="R34" s="26"/>
      <c r="S34" s="32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</row>
    <row r="35" spans="1:72" ht="13" customHeight="1">
      <c r="A35" s="24" t="s">
        <v>93</v>
      </c>
      <c r="B35" s="24" t="s">
        <v>94</v>
      </c>
      <c r="C35" s="25" t="s">
        <v>95</v>
      </c>
      <c r="D35" s="25" t="s">
        <v>96</v>
      </c>
      <c r="E35" s="26"/>
      <c r="F35" s="26"/>
      <c r="G35" s="26"/>
      <c r="H35" s="27"/>
      <c r="I35" s="33" t="s">
        <v>130</v>
      </c>
      <c r="J35" s="29" t="s">
        <v>131</v>
      </c>
      <c r="K35" s="30"/>
      <c r="L35" s="31"/>
      <c r="M35" s="26"/>
      <c r="N35" s="26">
        <f>49000</f>
        <v>49000</v>
      </c>
      <c r="O35" s="26"/>
      <c r="P35" s="26"/>
      <c r="Q35" s="26"/>
      <c r="R35" s="26"/>
      <c r="S35" s="32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</row>
    <row r="36" spans="1:72" ht="13" customHeight="1">
      <c r="A36" s="24" t="s">
        <v>93</v>
      </c>
      <c r="B36" s="24" t="s">
        <v>94</v>
      </c>
      <c r="C36" s="25" t="s">
        <v>95</v>
      </c>
      <c r="D36" s="25" t="s">
        <v>96</v>
      </c>
      <c r="E36" s="26"/>
      <c r="F36" s="26"/>
      <c r="G36" s="26"/>
      <c r="H36" s="27"/>
      <c r="I36" s="28" t="s">
        <v>132</v>
      </c>
      <c r="J36" s="36" t="s">
        <v>133</v>
      </c>
      <c r="K36" s="37"/>
      <c r="L36" s="31"/>
      <c r="M36" s="26"/>
      <c r="N36" s="26">
        <f>9500</f>
        <v>9500</v>
      </c>
      <c r="O36" s="26"/>
      <c r="P36" s="26"/>
      <c r="Q36" s="26"/>
      <c r="R36" s="26"/>
      <c r="S36" s="32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</row>
    <row r="37" spans="1:72" ht="13" customHeight="1">
      <c r="A37" s="24" t="s">
        <v>93</v>
      </c>
      <c r="B37" s="24" t="s">
        <v>94</v>
      </c>
      <c r="C37" s="25" t="s">
        <v>95</v>
      </c>
      <c r="D37" s="25" t="s">
        <v>96</v>
      </c>
      <c r="E37" s="26"/>
      <c r="F37" s="26"/>
      <c r="G37" s="26"/>
      <c r="H37" s="27"/>
      <c r="I37" s="33" t="s">
        <v>134</v>
      </c>
      <c r="J37" s="29" t="s">
        <v>135</v>
      </c>
      <c r="K37" s="30"/>
      <c r="L37" s="31"/>
      <c r="M37" s="26"/>
      <c r="N37" s="26">
        <f>350000</f>
        <v>350000</v>
      </c>
      <c r="O37" s="26"/>
      <c r="P37" s="26"/>
      <c r="Q37" s="26"/>
      <c r="R37" s="26"/>
      <c r="S37" s="32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</row>
    <row r="38" spans="1:72" ht="13" customHeight="1">
      <c r="A38" s="24" t="s">
        <v>93</v>
      </c>
      <c r="B38" s="24" t="s">
        <v>94</v>
      </c>
      <c r="C38" s="25" t="s">
        <v>95</v>
      </c>
      <c r="D38" s="25" t="s">
        <v>96</v>
      </c>
      <c r="E38" s="26"/>
      <c r="F38" s="26"/>
      <c r="G38" s="26"/>
      <c r="H38" s="27"/>
      <c r="I38" s="33" t="s">
        <v>136</v>
      </c>
      <c r="J38" s="29" t="s">
        <v>100</v>
      </c>
      <c r="K38" s="30"/>
      <c r="L38" s="31"/>
      <c r="M38" s="26"/>
      <c r="N38" s="26">
        <f>4500</f>
        <v>4500</v>
      </c>
      <c r="O38" s="26"/>
      <c r="P38" s="26"/>
      <c r="Q38" s="26"/>
      <c r="R38" s="26"/>
      <c r="S38" s="32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</row>
    <row r="39" spans="1:72" ht="13" customHeight="1">
      <c r="A39" s="24" t="s">
        <v>137</v>
      </c>
      <c r="B39" s="24" t="s">
        <v>94</v>
      </c>
      <c r="C39" s="25" t="s">
        <v>138</v>
      </c>
      <c r="D39" s="25" t="s">
        <v>139</v>
      </c>
      <c r="E39" s="25" t="s">
        <v>140</v>
      </c>
      <c r="F39" s="25"/>
      <c r="G39" s="25"/>
      <c r="H39" s="38"/>
      <c r="I39" s="33" t="s">
        <v>103</v>
      </c>
      <c r="J39" s="29" t="s">
        <v>141</v>
      </c>
      <c r="K39" s="30">
        <f>73.9</f>
        <v>73.900000000000006</v>
      </c>
      <c r="L39" s="31">
        <f>69.2</f>
        <v>69.2</v>
      </c>
      <c r="M39" s="26">
        <f>75.7</f>
        <v>75.7</v>
      </c>
      <c r="N39" s="26"/>
      <c r="O39" s="26"/>
      <c r="P39" s="26"/>
      <c r="Q39" s="26"/>
      <c r="R39" s="26"/>
      <c r="S39" s="32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</row>
    <row r="40" spans="1:72" ht="13" customHeight="1">
      <c r="A40" s="24" t="s">
        <v>137</v>
      </c>
      <c r="B40" s="24" t="s">
        <v>94</v>
      </c>
      <c r="C40" s="25" t="s">
        <v>138</v>
      </c>
      <c r="D40" s="25" t="s">
        <v>139</v>
      </c>
      <c r="E40" s="25" t="s">
        <v>142</v>
      </c>
      <c r="F40" s="25"/>
      <c r="G40" s="25"/>
      <c r="H40" s="38"/>
      <c r="I40" s="33" t="s">
        <v>103</v>
      </c>
      <c r="J40" s="29" t="s">
        <v>141</v>
      </c>
      <c r="K40" s="30">
        <f>73.9</f>
        <v>73.900000000000006</v>
      </c>
      <c r="L40" s="31">
        <f>78.1</f>
        <v>78.099999999999994</v>
      </c>
      <c r="M40" s="26">
        <f>90.4</f>
        <v>90.4</v>
      </c>
      <c r="N40" s="26"/>
      <c r="O40" s="26"/>
      <c r="P40" s="26"/>
      <c r="Q40" s="26"/>
      <c r="R40" s="26"/>
      <c r="S40" s="32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</row>
    <row r="41" spans="1:72" ht="13" customHeight="1">
      <c r="A41" s="24" t="s">
        <v>137</v>
      </c>
      <c r="B41" s="24" t="s">
        <v>94</v>
      </c>
      <c r="C41" s="25" t="s">
        <v>138</v>
      </c>
      <c r="D41" s="25" t="s">
        <v>139</v>
      </c>
      <c r="E41" s="25" t="s">
        <v>140</v>
      </c>
      <c r="F41" s="25"/>
      <c r="G41" s="25"/>
      <c r="H41" s="38"/>
      <c r="I41" s="28" t="s">
        <v>104</v>
      </c>
      <c r="J41" s="29" t="s">
        <v>141</v>
      </c>
      <c r="K41" s="30">
        <f>61.7</f>
        <v>61.7</v>
      </c>
      <c r="L41" s="31">
        <f>60.7</f>
        <v>60.7</v>
      </c>
      <c r="M41" s="26">
        <f>66.4</f>
        <v>66.400000000000006</v>
      </c>
      <c r="N41" s="26"/>
      <c r="O41" s="26"/>
      <c r="P41" s="26"/>
      <c r="Q41" s="26"/>
      <c r="R41" s="26"/>
      <c r="S41" s="32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</row>
    <row r="42" spans="1:72" ht="13" customHeight="1">
      <c r="A42" s="24" t="s">
        <v>137</v>
      </c>
      <c r="B42" s="24" t="s">
        <v>94</v>
      </c>
      <c r="C42" s="25" t="s">
        <v>138</v>
      </c>
      <c r="D42" s="25" t="s">
        <v>139</v>
      </c>
      <c r="E42" s="25" t="s">
        <v>140</v>
      </c>
      <c r="F42" s="25"/>
      <c r="G42" s="25"/>
      <c r="H42" s="38"/>
      <c r="I42" s="28" t="s">
        <v>143</v>
      </c>
      <c r="J42" s="29" t="s">
        <v>141</v>
      </c>
      <c r="K42" s="30">
        <f>40.9</f>
        <v>40.9</v>
      </c>
      <c r="L42" s="31">
        <f>39</f>
        <v>39</v>
      </c>
      <c r="M42" s="26">
        <f>38.5</f>
        <v>38.5</v>
      </c>
      <c r="N42" s="26"/>
      <c r="O42" s="26"/>
      <c r="P42" s="26"/>
      <c r="Q42" s="26"/>
      <c r="R42" s="26"/>
      <c r="S42" s="32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</row>
    <row r="43" spans="1:72" ht="13" customHeight="1">
      <c r="A43" s="24" t="s">
        <v>137</v>
      </c>
      <c r="B43" s="24" t="s">
        <v>94</v>
      </c>
      <c r="C43" s="25" t="s">
        <v>138</v>
      </c>
      <c r="D43" s="25" t="s">
        <v>139</v>
      </c>
      <c r="E43" s="25" t="s">
        <v>140</v>
      </c>
      <c r="F43" s="25"/>
      <c r="G43" s="25"/>
      <c r="H43" s="38"/>
      <c r="I43" s="33" t="s">
        <v>144</v>
      </c>
      <c r="J43" s="29" t="s">
        <v>141</v>
      </c>
      <c r="K43" s="30">
        <f>26.5</f>
        <v>26.5</v>
      </c>
      <c r="L43" s="31">
        <f>25.8</f>
        <v>25.8</v>
      </c>
      <c r="M43" s="26">
        <f>32.5</f>
        <v>32.5</v>
      </c>
      <c r="N43" s="26"/>
      <c r="O43" s="26"/>
      <c r="P43" s="26"/>
      <c r="Q43" s="26"/>
      <c r="R43" s="26"/>
      <c r="S43" s="32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</row>
    <row r="44" spans="1:72" ht="13" customHeight="1">
      <c r="A44" s="24" t="s">
        <v>137</v>
      </c>
      <c r="B44" s="24" t="s">
        <v>94</v>
      </c>
      <c r="C44" s="25" t="s">
        <v>138</v>
      </c>
      <c r="D44" s="25" t="s">
        <v>139</v>
      </c>
      <c r="E44" s="25" t="s">
        <v>140</v>
      </c>
      <c r="F44" s="25"/>
      <c r="G44" s="25"/>
      <c r="H44" s="38"/>
      <c r="I44" s="33" t="s">
        <v>145</v>
      </c>
      <c r="J44" s="29" t="s">
        <v>141</v>
      </c>
      <c r="K44" s="30">
        <f>5.6</f>
        <v>5.6</v>
      </c>
      <c r="L44" s="31">
        <f>4.1</f>
        <v>4.0999999999999996</v>
      </c>
      <c r="M44" s="26">
        <f>4.6</f>
        <v>4.5999999999999996</v>
      </c>
      <c r="N44" s="26"/>
      <c r="O44" s="26"/>
      <c r="P44" s="26"/>
      <c r="Q44" s="26"/>
      <c r="R44" s="26"/>
      <c r="S44" s="32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</row>
    <row r="45" spans="1:72" ht="13" customHeight="1">
      <c r="A45" s="24" t="s">
        <v>137</v>
      </c>
      <c r="B45" s="24" t="s">
        <v>94</v>
      </c>
      <c r="C45" s="25" t="s">
        <v>138</v>
      </c>
      <c r="D45" s="25" t="s">
        <v>139</v>
      </c>
      <c r="E45" s="25" t="s">
        <v>142</v>
      </c>
      <c r="F45" s="25"/>
      <c r="G45" s="25"/>
      <c r="H45" s="38"/>
      <c r="I45" s="28" t="s">
        <v>104</v>
      </c>
      <c r="J45" s="29" t="s">
        <v>141</v>
      </c>
      <c r="K45" s="30">
        <f>61.7</f>
        <v>61.7</v>
      </c>
      <c r="L45" s="31">
        <f>66.4</f>
        <v>66.400000000000006</v>
      </c>
      <c r="M45" s="26">
        <f>82.6</f>
        <v>82.6</v>
      </c>
      <c r="N45" s="26"/>
      <c r="O45" s="26"/>
      <c r="P45" s="26"/>
      <c r="Q45" s="26"/>
      <c r="R45" s="26"/>
      <c r="S45" s="32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</row>
    <row r="46" spans="1:72" ht="13" customHeight="1">
      <c r="A46" s="24" t="s">
        <v>137</v>
      </c>
      <c r="B46" s="24" t="s">
        <v>94</v>
      </c>
      <c r="C46" s="25" t="s">
        <v>138</v>
      </c>
      <c r="D46" s="25" t="s">
        <v>139</v>
      </c>
      <c r="E46" s="25" t="s">
        <v>142</v>
      </c>
      <c r="F46" s="25"/>
      <c r="G46" s="25"/>
      <c r="H46" s="38"/>
      <c r="I46" s="28" t="s">
        <v>143</v>
      </c>
      <c r="J46" s="29" t="s">
        <v>141</v>
      </c>
      <c r="K46" s="30">
        <f>40.9</f>
        <v>40.9</v>
      </c>
      <c r="L46" s="31">
        <f>46.1</f>
        <v>46.1</v>
      </c>
      <c r="M46" s="34">
        <f>58</f>
        <v>58</v>
      </c>
      <c r="N46" s="26"/>
      <c r="O46" s="26"/>
      <c r="P46" s="26"/>
      <c r="Q46" s="26"/>
      <c r="R46" s="26"/>
      <c r="S46" s="32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</row>
    <row r="47" spans="1:72" ht="13" customHeight="1">
      <c r="A47" s="24" t="s">
        <v>137</v>
      </c>
      <c r="B47" s="24" t="s">
        <v>94</v>
      </c>
      <c r="C47" s="25" t="s">
        <v>138</v>
      </c>
      <c r="D47" s="25" t="s">
        <v>139</v>
      </c>
      <c r="E47" s="25" t="s">
        <v>142</v>
      </c>
      <c r="F47" s="25"/>
      <c r="G47" s="25"/>
      <c r="H47" s="38"/>
      <c r="I47" s="33" t="s">
        <v>144</v>
      </c>
      <c r="J47" s="29" t="s">
        <v>141</v>
      </c>
      <c r="K47" s="30">
        <f>26.5</f>
        <v>26.5</v>
      </c>
      <c r="L47" s="31">
        <f>24.6</f>
        <v>24.6</v>
      </c>
      <c r="M47" s="26">
        <f>29.5</f>
        <v>29.5</v>
      </c>
      <c r="N47" s="26"/>
      <c r="O47" s="26"/>
      <c r="P47" s="26"/>
      <c r="Q47" s="26"/>
      <c r="R47" s="26"/>
      <c r="S47" s="32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</row>
    <row r="48" spans="1:72" ht="13" customHeight="1">
      <c r="A48" s="24" t="s">
        <v>137</v>
      </c>
      <c r="B48" s="24" t="s">
        <v>94</v>
      </c>
      <c r="C48" s="25" t="s">
        <v>138</v>
      </c>
      <c r="D48" s="25" t="s">
        <v>139</v>
      </c>
      <c r="E48" s="25" t="s">
        <v>142</v>
      </c>
      <c r="F48" s="25"/>
      <c r="G48" s="25"/>
      <c r="H48" s="38"/>
      <c r="I48" s="33" t="s">
        <v>145</v>
      </c>
      <c r="J48" s="29" t="s">
        <v>141</v>
      </c>
      <c r="K48" s="30">
        <f>5.6</f>
        <v>5.6</v>
      </c>
      <c r="L48" s="31">
        <f>4.3</f>
        <v>4.3</v>
      </c>
      <c r="M48" s="26">
        <f>4.9</f>
        <v>4.9000000000000004</v>
      </c>
      <c r="N48" s="26"/>
      <c r="O48" s="26"/>
      <c r="P48" s="26"/>
      <c r="Q48" s="26"/>
      <c r="R48" s="26"/>
      <c r="S48" s="32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</row>
    <row r="49" spans="1:72" ht="13" customHeight="1">
      <c r="A49" s="24" t="s">
        <v>137</v>
      </c>
      <c r="B49" s="24" t="s">
        <v>94</v>
      </c>
      <c r="C49" s="25" t="s">
        <v>138</v>
      </c>
      <c r="D49" s="25" t="s">
        <v>139</v>
      </c>
      <c r="E49" s="25" t="s">
        <v>140</v>
      </c>
      <c r="F49" s="25"/>
      <c r="G49" s="25"/>
      <c r="H49" s="38"/>
      <c r="I49" s="33" t="s">
        <v>105</v>
      </c>
      <c r="J49" s="29" t="s">
        <v>141</v>
      </c>
      <c r="K49" s="30">
        <f>12.1</f>
        <v>12.1</v>
      </c>
      <c r="L49" s="31">
        <f>12.3</f>
        <v>12.3</v>
      </c>
      <c r="M49" s="26">
        <f>13.3</f>
        <v>13.3</v>
      </c>
      <c r="N49" s="26"/>
      <c r="O49" s="26"/>
      <c r="P49" s="26"/>
      <c r="Q49" s="26"/>
      <c r="R49" s="26"/>
      <c r="S49" s="3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</row>
    <row r="50" spans="1:72" ht="13" customHeight="1">
      <c r="A50" s="24" t="s">
        <v>137</v>
      </c>
      <c r="B50" s="24" t="s">
        <v>94</v>
      </c>
      <c r="C50" s="25" t="s">
        <v>138</v>
      </c>
      <c r="D50" s="25" t="s">
        <v>139</v>
      </c>
      <c r="E50" s="25" t="s">
        <v>140</v>
      </c>
      <c r="F50" s="25"/>
      <c r="G50" s="25"/>
      <c r="H50" s="38"/>
      <c r="I50" s="33" t="s">
        <v>146</v>
      </c>
      <c r="J50" s="29" t="s">
        <v>141</v>
      </c>
      <c r="K50" s="30">
        <f>11</f>
        <v>11</v>
      </c>
      <c r="L50" s="31">
        <f>11.1</f>
        <v>11.1</v>
      </c>
      <c r="M50" s="26">
        <f>11.8</f>
        <v>11.8</v>
      </c>
      <c r="N50" s="26"/>
      <c r="O50" s="26"/>
      <c r="P50" s="26"/>
      <c r="Q50" s="26"/>
      <c r="R50" s="26"/>
      <c r="S50" s="32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</row>
    <row r="51" spans="1:72" ht="13" customHeight="1">
      <c r="A51" s="24" t="s">
        <v>137</v>
      </c>
      <c r="B51" s="24" t="s">
        <v>94</v>
      </c>
      <c r="C51" s="25" t="s">
        <v>138</v>
      </c>
      <c r="D51" s="25" t="s">
        <v>139</v>
      </c>
      <c r="E51" s="25" t="s">
        <v>140</v>
      </c>
      <c r="F51" s="25"/>
      <c r="G51" s="25"/>
      <c r="H51" s="38"/>
      <c r="I51" s="33" t="s">
        <v>147</v>
      </c>
      <c r="J51" s="29" t="s">
        <v>141</v>
      </c>
      <c r="K51" s="30">
        <f>2.1</f>
        <v>2.1</v>
      </c>
      <c r="L51" s="31">
        <f>1.5</f>
        <v>1.5</v>
      </c>
      <c r="M51" s="26">
        <f>1.8</f>
        <v>1.8</v>
      </c>
      <c r="N51" s="26"/>
      <c r="O51" s="26"/>
      <c r="P51" s="26"/>
      <c r="Q51" s="26"/>
      <c r="R51" s="26"/>
      <c r="S51" s="32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</row>
    <row r="52" spans="1:72" ht="13" customHeight="1">
      <c r="A52" s="24" t="s">
        <v>137</v>
      </c>
      <c r="B52" s="24" t="s">
        <v>94</v>
      </c>
      <c r="C52" s="25" t="s">
        <v>138</v>
      </c>
      <c r="D52" s="25" t="s">
        <v>139</v>
      </c>
      <c r="E52" s="25" t="s">
        <v>140</v>
      </c>
      <c r="F52" s="25"/>
      <c r="G52" s="25"/>
      <c r="H52" s="38"/>
      <c r="I52" s="33" t="s">
        <v>148</v>
      </c>
      <c r="J52" s="29" t="s">
        <v>141</v>
      </c>
      <c r="K52" s="30">
        <f>1</f>
        <v>1</v>
      </c>
      <c r="L52" s="31">
        <f>0.3</f>
        <v>0.3</v>
      </c>
      <c r="M52" s="26">
        <f>0.3</f>
        <v>0.3</v>
      </c>
      <c r="N52" s="26"/>
      <c r="O52" s="26"/>
      <c r="P52" s="26"/>
      <c r="Q52" s="26"/>
      <c r="R52" s="26"/>
      <c r="S52" s="32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</row>
    <row r="53" spans="1:72" ht="13" customHeight="1">
      <c r="A53" s="24" t="s">
        <v>137</v>
      </c>
      <c r="B53" s="24" t="s">
        <v>94</v>
      </c>
      <c r="C53" s="25" t="s">
        <v>138</v>
      </c>
      <c r="D53" s="25" t="s">
        <v>139</v>
      </c>
      <c r="E53" s="25" t="s">
        <v>142</v>
      </c>
      <c r="F53" s="25"/>
      <c r="G53" s="25"/>
      <c r="H53" s="38"/>
      <c r="I53" s="33" t="s">
        <v>105</v>
      </c>
      <c r="J53" s="29" t="s">
        <v>141</v>
      </c>
      <c r="K53" s="30">
        <f>12.1</f>
        <v>12.1</v>
      </c>
      <c r="L53" s="31">
        <f>12.7</f>
        <v>12.7</v>
      </c>
      <c r="M53" s="26">
        <f>14.3</f>
        <v>14.3</v>
      </c>
      <c r="N53" s="26"/>
      <c r="O53" s="26"/>
      <c r="P53" s="26"/>
      <c r="Q53" s="26"/>
      <c r="R53" s="26"/>
      <c r="S53" s="32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</row>
    <row r="54" spans="1:72" ht="13" customHeight="1">
      <c r="A54" s="24" t="s">
        <v>137</v>
      </c>
      <c r="B54" s="24" t="s">
        <v>94</v>
      </c>
      <c r="C54" s="25" t="s">
        <v>138</v>
      </c>
      <c r="D54" s="25" t="s">
        <v>139</v>
      </c>
      <c r="E54" s="25" t="s">
        <v>142</v>
      </c>
      <c r="F54" s="25"/>
      <c r="G54" s="25"/>
      <c r="H54" s="38"/>
      <c r="I54" s="33" t="s">
        <v>146</v>
      </c>
      <c r="J54" s="29" t="s">
        <v>141</v>
      </c>
      <c r="K54" s="30">
        <f>11</f>
        <v>11</v>
      </c>
      <c r="L54" s="31">
        <f>11.4</f>
        <v>11.4</v>
      </c>
      <c r="M54" s="26">
        <f>12.6</f>
        <v>12.6</v>
      </c>
      <c r="N54" s="26"/>
      <c r="O54" s="26"/>
      <c r="P54" s="26"/>
      <c r="Q54" s="26"/>
      <c r="R54" s="26"/>
      <c r="S54" s="32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</row>
    <row r="55" spans="1:72" ht="13" customHeight="1">
      <c r="A55" s="24" t="s">
        <v>137</v>
      </c>
      <c r="B55" s="24" t="s">
        <v>94</v>
      </c>
      <c r="C55" s="25" t="s">
        <v>138</v>
      </c>
      <c r="D55" s="25" t="s">
        <v>139</v>
      </c>
      <c r="E55" s="25" t="s">
        <v>142</v>
      </c>
      <c r="F55" s="25"/>
      <c r="G55" s="25"/>
      <c r="H55" s="38"/>
      <c r="I55" s="33" t="s">
        <v>147</v>
      </c>
      <c r="J55" s="29" t="s">
        <v>141</v>
      </c>
      <c r="K55" s="30">
        <f>2.1</f>
        <v>2.1</v>
      </c>
      <c r="L55" s="31">
        <f>1.6</f>
        <v>1.6</v>
      </c>
      <c r="M55" s="34">
        <f>2</f>
        <v>2</v>
      </c>
      <c r="N55" s="26"/>
      <c r="O55" s="26"/>
      <c r="P55" s="26"/>
      <c r="Q55" s="26"/>
      <c r="R55" s="26"/>
      <c r="S55" s="32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</row>
    <row r="56" spans="1:72" ht="13" customHeight="1">
      <c r="A56" s="24" t="s">
        <v>137</v>
      </c>
      <c r="B56" s="24" t="s">
        <v>94</v>
      </c>
      <c r="C56" s="25" t="s">
        <v>138</v>
      </c>
      <c r="D56" s="25" t="s">
        <v>139</v>
      </c>
      <c r="E56" s="25" t="s">
        <v>142</v>
      </c>
      <c r="F56" s="25"/>
      <c r="G56" s="25"/>
      <c r="H56" s="38"/>
      <c r="I56" s="33" t="s">
        <v>148</v>
      </c>
      <c r="J56" s="29" t="s">
        <v>141</v>
      </c>
      <c r="K56" s="30">
        <f>1</f>
        <v>1</v>
      </c>
      <c r="L56" s="31">
        <f>0.3</f>
        <v>0.3</v>
      </c>
      <c r="M56" s="26">
        <f>0.3</f>
        <v>0.3</v>
      </c>
      <c r="N56" s="26"/>
      <c r="O56" s="26"/>
      <c r="P56" s="26"/>
      <c r="Q56" s="26"/>
      <c r="R56" s="26"/>
      <c r="S56" s="32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</row>
    <row r="57" spans="1:72" ht="13" customHeight="1">
      <c r="A57" s="24" t="s">
        <v>137</v>
      </c>
      <c r="B57" s="24" t="s">
        <v>94</v>
      </c>
      <c r="C57" s="25" t="s">
        <v>138</v>
      </c>
      <c r="D57" s="25" t="s">
        <v>139</v>
      </c>
      <c r="E57" s="25" t="s">
        <v>140</v>
      </c>
      <c r="F57" s="25"/>
      <c r="G57" s="25"/>
      <c r="H57" s="38"/>
      <c r="I57" s="33" t="s">
        <v>106</v>
      </c>
      <c r="J57" s="29" t="s">
        <v>152</v>
      </c>
      <c r="K57" s="30">
        <f>3830</f>
        <v>3830</v>
      </c>
      <c r="L57" s="31">
        <f>4095.6</f>
        <v>4095.6</v>
      </c>
      <c r="M57" s="26">
        <f>4477.7</f>
        <v>4477.7</v>
      </c>
      <c r="N57" s="26"/>
      <c r="O57" s="26"/>
      <c r="P57" s="26"/>
      <c r="Q57" s="26"/>
      <c r="R57" s="26"/>
      <c r="S57" s="32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</row>
    <row r="58" spans="1:72" ht="13" customHeight="1">
      <c r="A58" s="24" t="s">
        <v>137</v>
      </c>
      <c r="B58" s="24" t="s">
        <v>94</v>
      </c>
      <c r="C58" s="25" t="s">
        <v>138</v>
      </c>
      <c r="D58" s="25" t="s">
        <v>139</v>
      </c>
      <c r="E58" s="25" t="s">
        <v>140</v>
      </c>
      <c r="F58" s="25"/>
      <c r="G58" s="25"/>
      <c r="H58" s="38"/>
      <c r="I58" s="33" t="s">
        <v>149</v>
      </c>
      <c r="J58" s="29" t="s">
        <v>152</v>
      </c>
      <c r="K58" s="30">
        <f>1136</f>
        <v>1136</v>
      </c>
      <c r="L58" s="31">
        <f>1280.3</f>
        <v>1280.3</v>
      </c>
      <c r="M58" s="26">
        <v>1452.9</v>
      </c>
      <c r="N58" s="26"/>
      <c r="O58" s="26"/>
      <c r="P58" s="26"/>
      <c r="Q58" s="26"/>
      <c r="R58" s="26"/>
      <c r="S58" s="32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</row>
    <row r="59" spans="1:72" ht="13" customHeight="1">
      <c r="A59" s="24" t="s">
        <v>137</v>
      </c>
      <c r="B59" s="24" t="s">
        <v>94</v>
      </c>
      <c r="C59" s="25" t="s">
        <v>138</v>
      </c>
      <c r="D59" s="25" t="s">
        <v>139</v>
      </c>
      <c r="E59" s="25" t="s">
        <v>140</v>
      </c>
      <c r="F59" s="25"/>
      <c r="G59" s="25"/>
      <c r="H59" s="38"/>
      <c r="I59" s="33" t="s">
        <v>150</v>
      </c>
      <c r="J59" s="29" t="s">
        <v>152</v>
      </c>
      <c r="K59" s="30">
        <f>2733</f>
        <v>2733</v>
      </c>
      <c r="L59" s="31">
        <f>2831.5</f>
        <v>2831.5</v>
      </c>
      <c r="M59" s="26">
        <f>3045.3</f>
        <v>3045.3</v>
      </c>
      <c r="N59" s="26"/>
      <c r="O59" s="26"/>
      <c r="P59" s="26"/>
      <c r="Q59" s="26"/>
      <c r="R59" s="26"/>
      <c r="S59" s="32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</row>
    <row r="60" spans="1:72" ht="13" customHeight="1">
      <c r="A60" s="24" t="s">
        <v>137</v>
      </c>
      <c r="B60" s="24" t="s">
        <v>94</v>
      </c>
      <c r="C60" s="25" t="s">
        <v>138</v>
      </c>
      <c r="D60" s="25" t="s">
        <v>139</v>
      </c>
      <c r="E60" s="25" t="s">
        <v>140</v>
      </c>
      <c r="F60" s="25"/>
      <c r="G60" s="25"/>
      <c r="H60" s="38"/>
      <c r="I60" s="33" t="s">
        <v>151</v>
      </c>
      <c r="J60" s="29" t="s">
        <v>152</v>
      </c>
      <c r="K60" s="30">
        <f>36</f>
        <v>36</v>
      </c>
      <c r="L60" s="31">
        <f>16.1</f>
        <v>16.100000000000001</v>
      </c>
      <c r="M60" s="26">
        <f>20.4</f>
        <v>20.399999999999999</v>
      </c>
      <c r="N60" s="26"/>
      <c r="O60" s="26"/>
      <c r="P60" s="26"/>
      <c r="Q60" s="26"/>
      <c r="R60" s="26"/>
      <c r="S60" s="32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</row>
    <row r="61" spans="1:72" ht="13" customHeight="1">
      <c r="A61" s="24" t="s">
        <v>137</v>
      </c>
      <c r="B61" s="24" t="s">
        <v>94</v>
      </c>
      <c r="C61" s="25" t="s">
        <v>138</v>
      </c>
      <c r="D61" s="25" t="s">
        <v>139</v>
      </c>
      <c r="E61" s="25" t="s">
        <v>142</v>
      </c>
      <c r="F61" s="25"/>
      <c r="G61" s="25"/>
      <c r="H61" s="38"/>
      <c r="I61" s="33" t="s">
        <v>106</v>
      </c>
      <c r="J61" s="29" t="s">
        <v>152</v>
      </c>
      <c r="K61" s="30">
        <f>3830</f>
        <v>3830</v>
      </c>
      <c r="L61" s="31">
        <f>4322</f>
        <v>4322</v>
      </c>
      <c r="M61" s="26">
        <f>4901.1</f>
        <v>4901.1000000000004</v>
      </c>
      <c r="N61" s="26"/>
      <c r="O61" s="26"/>
      <c r="P61" s="26"/>
      <c r="Q61" s="26"/>
      <c r="R61" s="26"/>
      <c r="S61" s="3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</row>
    <row r="62" spans="1:72" ht="13" customHeight="1">
      <c r="A62" s="24" t="s">
        <v>137</v>
      </c>
      <c r="B62" s="24" t="s">
        <v>94</v>
      </c>
      <c r="C62" s="25" t="s">
        <v>138</v>
      </c>
      <c r="D62" s="25" t="s">
        <v>139</v>
      </c>
      <c r="E62" s="25" t="s">
        <v>142</v>
      </c>
      <c r="F62" s="25"/>
      <c r="G62" s="25"/>
      <c r="H62" s="38"/>
      <c r="I62" s="33" t="s">
        <v>149</v>
      </c>
      <c r="J62" s="29" t="s">
        <v>152</v>
      </c>
      <c r="K62" s="30">
        <f>1136</f>
        <v>1136</v>
      </c>
      <c r="L62" s="31">
        <f>1429</f>
        <v>1429</v>
      </c>
      <c r="M62" s="26">
        <f>1804.8</f>
        <v>1804.8</v>
      </c>
      <c r="N62" s="26"/>
      <c r="O62" s="26"/>
      <c r="P62" s="26"/>
      <c r="Q62" s="26"/>
      <c r="R62" s="26"/>
      <c r="S62" s="32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</row>
    <row r="63" spans="1:72" ht="13" customHeight="1">
      <c r="A63" s="24" t="s">
        <v>137</v>
      </c>
      <c r="B63" s="24" t="s">
        <v>94</v>
      </c>
      <c r="C63" s="25" t="s">
        <v>138</v>
      </c>
      <c r="D63" s="25" t="s">
        <v>139</v>
      </c>
      <c r="E63" s="25" t="s">
        <v>142</v>
      </c>
      <c r="F63" s="25"/>
      <c r="G63" s="25"/>
      <c r="H63" s="38"/>
      <c r="I63" s="33" t="s">
        <v>150</v>
      </c>
      <c r="J63" s="29" t="s">
        <v>152</v>
      </c>
      <c r="K63" s="30">
        <f>2733</f>
        <v>2733</v>
      </c>
      <c r="L63" s="31">
        <f>2911.5</f>
        <v>2911.5</v>
      </c>
      <c r="M63" s="26">
        <v>3118.9</v>
      </c>
      <c r="N63" s="26"/>
      <c r="O63" s="26"/>
      <c r="P63" s="26"/>
      <c r="Q63" s="26"/>
      <c r="R63" s="26"/>
      <c r="S63" s="32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</row>
    <row r="64" spans="1:72" ht="13" customHeight="1">
      <c r="A64" s="24" t="s">
        <v>137</v>
      </c>
      <c r="B64" s="24" t="s">
        <v>94</v>
      </c>
      <c r="C64" s="25" t="s">
        <v>138</v>
      </c>
      <c r="D64" s="25" t="s">
        <v>139</v>
      </c>
      <c r="E64" s="25" t="s">
        <v>142</v>
      </c>
      <c r="F64" s="25"/>
      <c r="G64" s="25"/>
      <c r="H64" s="38"/>
      <c r="I64" s="33" t="s">
        <v>151</v>
      </c>
      <c r="J64" s="29" t="s">
        <v>152</v>
      </c>
      <c r="K64" s="30">
        <f>36</f>
        <v>36</v>
      </c>
      <c r="L64" s="31">
        <f>18.5</f>
        <v>18.5</v>
      </c>
      <c r="M64" s="26">
        <f>22.7</f>
        <v>22.7</v>
      </c>
      <c r="N64" s="26"/>
      <c r="O64" s="26"/>
      <c r="P64" s="26"/>
      <c r="Q64" s="26"/>
      <c r="R64" s="26"/>
      <c r="S64" s="32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</row>
    <row r="65" spans="1:72" ht="13" customHeight="1">
      <c r="A65" s="24" t="s">
        <v>137</v>
      </c>
      <c r="B65" s="24" t="s">
        <v>94</v>
      </c>
      <c r="C65" s="25" t="s">
        <v>138</v>
      </c>
      <c r="D65" s="25" t="s">
        <v>139</v>
      </c>
      <c r="E65" s="25" t="s">
        <v>140</v>
      </c>
      <c r="F65" s="25"/>
      <c r="G65" s="25"/>
      <c r="H65" s="38"/>
      <c r="I65" s="33" t="s">
        <v>107</v>
      </c>
      <c r="J65" s="29" t="s">
        <v>152</v>
      </c>
      <c r="K65" s="30">
        <f>1015</f>
        <v>1015</v>
      </c>
      <c r="L65" s="31">
        <f>1003.2</f>
        <v>1003.2</v>
      </c>
      <c r="M65" s="26">
        <f>1095.6</f>
        <v>1095.5999999999999</v>
      </c>
      <c r="N65" s="26"/>
      <c r="O65" s="26"/>
      <c r="P65" s="26"/>
      <c r="Q65" s="26"/>
      <c r="R65" s="26"/>
      <c r="S65" s="32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</row>
    <row r="66" spans="1:72" ht="13" customHeight="1">
      <c r="A66" s="24" t="s">
        <v>137</v>
      </c>
      <c r="B66" s="24" t="s">
        <v>94</v>
      </c>
      <c r="C66" s="25" t="s">
        <v>138</v>
      </c>
      <c r="D66" s="25" t="s">
        <v>139</v>
      </c>
      <c r="E66" s="25" t="s">
        <v>140</v>
      </c>
      <c r="F66" s="25"/>
      <c r="G66" s="25"/>
      <c r="H66" s="38"/>
      <c r="I66" s="33" t="s">
        <v>153</v>
      </c>
      <c r="J66" s="29" t="s">
        <v>152</v>
      </c>
      <c r="K66" s="30">
        <f>315</f>
        <v>315</v>
      </c>
      <c r="L66" s="31">
        <f>219.4</f>
        <v>219.4</v>
      </c>
      <c r="M66" s="26">
        <v>248.9</v>
      </c>
      <c r="N66" s="26"/>
      <c r="O66" s="26"/>
      <c r="P66" s="26"/>
      <c r="Q66" s="26"/>
      <c r="R66" s="26"/>
      <c r="S66" s="32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</row>
    <row r="67" spans="1:72" ht="13" customHeight="1">
      <c r="A67" s="24" t="s">
        <v>137</v>
      </c>
      <c r="B67" s="24" t="s">
        <v>94</v>
      </c>
      <c r="C67" s="25" t="s">
        <v>138</v>
      </c>
      <c r="D67" s="25" t="s">
        <v>139</v>
      </c>
      <c r="E67" s="25" t="s">
        <v>140</v>
      </c>
      <c r="F67" s="25"/>
      <c r="G67" s="25"/>
      <c r="H67" s="38"/>
      <c r="I67" s="33" t="s">
        <v>154</v>
      </c>
      <c r="J67" s="29" t="s">
        <v>152</v>
      </c>
      <c r="K67" s="30">
        <f>702</f>
        <v>702</v>
      </c>
      <c r="L67" s="31">
        <f>783.8</f>
        <v>783.8</v>
      </c>
      <c r="M67" s="26">
        <v>846.6</v>
      </c>
      <c r="N67" s="26"/>
      <c r="O67" s="26"/>
      <c r="P67" s="26"/>
      <c r="Q67" s="26"/>
      <c r="R67" s="26"/>
      <c r="S67" s="3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</row>
    <row r="68" spans="1:72" ht="13" customHeight="1">
      <c r="A68" s="24" t="s">
        <v>137</v>
      </c>
      <c r="B68" s="24" t="s">
        <v>94</v>
      </c>
      <c r="C68" s="25" t="s">
        <v>138</v>
      </c>
      <c r="D68" s="25" t="s">
        <v>139</v>
      </c>
      <c r="E68" s="25" t="s">
        <v>140</v>
      </c>
      <c r="F68" s="25"/>
      <c r="G68" s="25"/>
      <c r="H68" s="38"/>
      <c r="I68" s="33" t="s">
        <v>155</v>
      </c>
      <c r="J68" s="29" t="s">
        <v>152</v>
      </c>
      <c r="K68" s="30">
        <f>2</f>
        <v>2</v>
      </c>
      <c r="L68" s="31">
        <f>0</f>
        <v>0</v>
      </c>
      <c r="M68" s="26">
        <f>0</f>
        <v>0</v>
      </c>
      <c r="N68" s="26"/>
      <c r="O68" s="26"/>
      <c r="P68" s="26"/>
      <c r="Q68" s="26"/>
      <c r="R68" s="26"/>
      <c r="S68" s="32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</row>
    <row r="69" spans="1:72" ht="13" customHeight="1">
      <c r="A69" s="24" t="s">
        <v>137</v>
      </c>
      <c r="B69" s="24" t="s">
        <v>94</v>
      </c>
      <c r="C69" s="25" t="s">
        <v>138</v>
      </c>
      <c r="D69" s="25" t="s">
        <v>139</v>
      </c>
      <c r="E69" s="25" t="s">
        <v>142</v>
      </c>
      <c r="F69" s="25"/>
      <c r="G69" s="25"/>
      <c r="H69" s="38"/>
      <c r="I69" s="33" t="s">
        <v>107</v>
      </c>
      <c r="J69" s="29" t="s">
        <v>152</v>
      </c>
      <c r="K69" s="30">
        <f>1015</f>
        <v>1015</v>
      </c>
      <c r="L69" s="31">
        <f>1088.8</f>
        <v>1088.8</v>
      </c>
      <c r="M69" s="26">
        <f>1230.6</f>
        <v>1230.5999999999999</v>
      </c>
      <c r="N69" s="26"/>
      <c r="O69" s="26"/>
      <c r="P69" s="26"/>
      <c r="Q69" s="26"/>
      <c r="R69" s="26"/>
      <c r="S69" s="32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</row>
    <row r="70" spans="1:72" ht="13" customHeight="1">
      <c r="A70" s="24" t="s">
        <v>137</v>
      </c>
      <c r="B70" s="24" t="s">
        <v>94</v>
      </c>
      <c r="C70" s="25" t="s">
        <v>138</v>
      </c>
      <c r="D70" s="25" t="s">
        <v>139</v>
      </c>
      <c r="E70" s="25" t="s">
        <v>142</v>
      </c>
      <c r="F70" s="25"/>
      <c r="G70" s="25"/>
      <c r="H70" s="38"/>
      <c r="I70" s="33" t="s">
        <v>153</v>
      </c>
      <c r="J70" s="29" t="s">
        <v>152</v>
      </c>
      <c r="K70" s="30">
        <f>315</f>
        <v>315</v>
      </c>
      <c r="L70" s="31">
        <f>257.5</f>
        <v>257.5</v>
      </c>
      <c r="M70" s="26">
        <f>317.1</f>
        <v>317.10000000000002</v>
      </c>
      <c r="N70" s="26"/>
      <c r="O70" s="26"/>
      <c r="P70" s="26"/>
      <c r="Q70" s="26"/>
      <c r="R70" s="26"/>
      <c r="S70" s="32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</row>
    <row r="71" spans="1:72" ht="13" customHeight="1">
      <c r="A71" s="24" t="s">
        <v>137</v>
      </c>
      <c r="B71" s="24" t="s">
        <v>94</v>
      </c>
      <c r="C71" s="25" t="s">
        <v>138</v>
      </c>
      <c r="D71" s="25" t="s">
        <v>139</v>
      </c>
      <c r="E71" s="25" t="s">
        <v>142</v>
      </c>
      <c r="F71" s="25"/>
      <c r="G71" s="25"/>
      <c r="H71" s="38"/>
      <c r="I71" s="33" t="s">
        <v>154</v>
      </c>
      <c r="J71" s="29" t="s">
        <v>152</v>
      </c>
      <c r="K71" s="30">
        <f>702</f>
        <v>702</v>
      </c>
      <c r="L71" s="31">
        <f>831.2</f>
        <v>831.2</v>
      </c>
      <c r="M71" s="26">
        <f>913.5</f>
        <v>913.5</v>
      </c>
      <c r="N71" s="26"/>
      <c r="O71" s="26"/>
      <c r="P71" s="26"/>
      <c r="Q71" s="26"/>
      <c r="R71" s="26"/>
      <c r="S71" s="3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</row>
    <row r="72" spans="1:72" ht="13" customHeight="1">
      <c r="A72" s="24" t="s">
        <v>137</v>
      </c>
      <c r="B72" s="24" t="s">
        <v>94</v>
      </c>
      <c r="C72" s="25" t="s">
        <v>138</v>
      </c>
      <c r="D72" s="25" t="s">
        <v>139</v>
      </c>
      <c r="E72" s="25" t="s">
        <v>142</v>
      </c>
      <c r="F72" s="25"/>
      <c r="G72" s="25"/>
      <c r="H72" s="38"/>
      <c r="I72" s="33" t="s">
        <v>155</v>
      </c>
      <c r="J72" s="29" t="s">
        <v>152</v>
      </c>
      <c r="K72" s="30">
        <f>2</f>
        <v>2</v>
      </c>
      <c r="L72" s="31">
        <f>0</f>
        <v>0</v>
      </c>
      <c r="M72" s="26">
        <f>0</f>
        <v>0</v>
      </c>
      <c r="N72" s="26"/>
      <c r="O72" s="26"/>
      <c r="P72" s="26"/>
      <c r="Q72" s="26"/>
      <c r="R72" s="26"/>
      <c r="S72" s="3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</row>
    <row r="73" spans="1:72" ht="13" customHeight="1">
      <c r="A73" s="24" t="s">
        <v>137</v>
      </c>
      <c r="B73" s="24" t="s">
        <v>94</v>
      </c>
      <c r="C73" s="25" t="s">
        <v>138</v>
      </c>
      <c r="D73" s="25" t="s">
        <v>139</v>
      </c>
      <c r="E73" s="25" t="s">
        <v>140</v>
      </c>
      <c r="F73" s="25"/>
      <c r="G73" s="25"/>
      <c r="H73" s="38"/>
      <c r="I73" s="33" t="s">
        <v>108</v>
      </c>
      <c r="J73" s="29" t="s">
        <v>152</v>
      </c>
      <c r="K73" s="30">
        <f>228</f>
        <v>228</v>
      </c>
      <c r="L73" s="31">
        <f>197.8</f>
        <v>197.8</v>
      </c>
      <c r="M73" s="26">
        <f>216.2</f>
        <v>216.2</v>
      </c>
      <c r="N73" s="26"/>
      <c r="O73" s="26"/>
      <c r="P73" s="26"/>
      <c r="Q73" s="26"/>
      <c r="R73" s="26"/>
      <c r="S73" s="32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</row>
    <row r="74" spans="1:72" ht="13" customHeight="1">
      <c r="A74" s="24" t="s">
        <v>137</v>
      </c>
      <c r="B74" s="24" t="s">
        <v>94</v>
      </c>
      <c r="C74" s="25" t="s">
        <v>138</v>
      </c>
      <c r="D74" s="25" t="s">
        <v>139</v>
      </c>
      <c r="E74" s="25" t="s">
        <v>140</v>
      </c>
      <c r="F74" s="25"/>
      <c r="G74" s="25"/>
      <c r="H74" s="38"/>
      <c r="I74" s="33" t="s">
        <v>156</v>
      </c>
      <c r="J74" s="29" t="s">
        <v>152</v>
      </c>
      <c r="K74" s="30">
        <f>19</f>
        <v>19</v>
      </c>
      <c r="L74" s="31">
        <f>17.9</f>
        <v>17.899999999999999</v>
      </c>
      <c r="M74" s="26">
        <f>20.4</f>
        <v>20.399999999999999</v>
      </c>
      <c r="N74" s="26"/>
      <c r="O74" s="26"/>
      <c r="P74" s="26"/>
      <c r="Q74" s="26"/>
      <c r="R74" s="26"/>
      <c r="S74" s="3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</row>
    <row r="75" spans="1:72" ht="13" customHeight="1">
      <c r="A75" s="24" t="s">
        <v>137</v>
      </c>
      <c r="B75" s="24" t="s">
        <v>94</v>
      </c>
      <c r="C75" s="25" t="s">
        <v>138</v>
      </c>
      <c r="D75" s="25" t="s">
        <v>139</v>
      </c>
      <c r="E75" s="25" t="s">
        <v>140</v>
      </c>
      <c r="F75" s="25"/>
      <c r="G75" s="25"/>
      <c r="H75" s="38"/>
      <c r="I75" s="33" t="s">
        <v>157</v>
      </c>
      <c r="J75" s="29" t="s">
        <v>152</v>
      </c>
      <c r="K75" s="30">
        <f>209</f>
        <v>209</v>
      </c>
      <c r="L75" s="31">
        <f>180.3</f>
        <v>180.3</v>
      </c>
      <c r="M75" s="26">
        <f>196.4</f>
        <v>196.4</v>
      </c>
      <c r="N75" s="26"/>
      <c r="O75" s="26"/>
      <c r="P75" s="26"/>
      <c r="Q75" s="26"/>
      <c r="R75" s="26"/>
      <c r="S75" s="3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</row>
    <row r="76" spans="1:72" ht="13" customHeight="1">
      <c r="A76" s="24" t="s">
        <v>137</v>
      </c>
      <c r="B76" s="24" t="s">
        <v>94</v>
      </c>
      <c r="C76" s="25" t="s">
        <v>138</v>
      </c>
      <c r="D76" s="25" t="s">
        <v>139</v>
      </c>
      <c r="E76" s="25" t="s">
        <v>140</v>
      </c>
      <c r="F76" s="25"/>
      <c r="G76" s="25"/>
      <c r="H76" s="38"/>
      <c r="I76" s="33" t="s">
        <v>158</v>
      </c>
      <c r="J76" s="29" t="s">
        <v>152</v>
      </c>
      <c r="K76" s="30">
        <f>0.5</f>
        <v>0.5</v>
      </c>
      <c r="L76" s="31">
        <f>0.4</f>
        <v>0.4</v>
      </c>
      <c r="M76" s="26">
        <f>0.5</f>
        <v>0.5</v>
      </c>
      <c r="N76" s="26"/>
      <c r="O76" s="26"/>
      <c r="P76" s="26"/>
      <c r="Q76" s="26"/>
      <c r="R76" s="26"/>
      <c r="S76" s="32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</row>
    <row r="77" spans="1:72" ht="13" customHeight="1">
      <c r="A77" s="24" t="s">
        <v>137</v>
      </c>
      <c r="B77" s="24" t="s">
        <v>94</v>
      </c>
      <c r="C77" s="25" t="s">
        <v>138</v>
      </c>
      <c r="D77" s="25" t="s">
        <v>139</v>
      </c>
      <c r="E77" s="25" t="s">
        <v>142</v>
      </c>
      <c r="F77" s="25"/>
      <c r="G77" s="25"/>
      <c r="H77" s="38"/>
      <c r="I77" s="33" t="s">
        <v>108</v>
      </c>
      <c r="J77" s="29" t="s">
        <v>152</v>
      </c>
      <c r="K77" s="30">
        <f>228</f>
        <v>228</v>
      </c>
      <c r="L77" s="31">
        <f>219.7</f>
        <v>219.7</v>
      </c>
      <c r="M77" s="26">
        <f>249.1</f>
        <v>249.1</v>
      </c>
      <c r="N77" s="26"/>
      <c r="O77" s="26"/>
      <c r="P77" s="26"/>
      <c r="Q77" s="26"/>
      <c r="R77" s="26"/>
      <c r="S77" s="32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</row>
    <row r="78" spans="1:72" ht="13" customHeight="1">
      <c r="A78" s="24" t="s">
        <v>137</v>
      </c>
      <c r="B78" s="24" t="s">
        <v>94</v>
      </c>
      <c r="C78" s="25" t="s">
        <v>138</v>
      </c>
      <c r="D78" s="25" t="s">
        <v>139</v>
      </c>
      <c r="E78" s="25" t="s">
        <v>142</v>
      </c>
      <c r="F78" s="25"/>
      <c r="G78" s="25"/>
      <c r="H78" s="38"/>
      <c r="I78" s="33" t="s">
        <v>156</v>
      </c>
      <c r="J78" s="29" t="s">
        <v>152</v>
      </c>
      <c r="K78" s="30">
        <f>19</f>
        <v>19</v>
      </c>
      <c r="L78" s="31">
        <f>22.6</f>
        <v>22.6</v>
      </c>
      <c r="M78" s="26">
        <f>63.3</f>
        <v>63.3</v>
      </c>
      <c r="N78" s="26"/>
      <c r="O78" s="26"/>
      <c r="P78" s="26"/>
      <c r="Q78" s="26"/>
      <c r="R78" s="26"/>
      <c r="S78" s="32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</row>
    <row r="79" spans="1:72" ht="13" customHeight="1">
      <c r="A79" s="24" t="s">
        <v>137</v>
      </c>
      <c r="B79" s="24" t="s">
        <v>94</v>
      </c>
      <c r="C79" s="25" t="s">
        <v>138</v>
      </c>
      <c r="D79" s="25" t="s">
        <v>139</v>
      </c>
      <c r="E79" s="25" t="s">
        <v>142</v>
      </c>
      <c r="F79" s="25"/>
      <c r="G79" s="25"/>
      <c r="H79" s="38"/>
      <c r="I79" s="33" t="s">
        <v>157</v>
      </c>
      <c r="J79" s="29" t="s">
        <v>152</v>
      </c>
      <c r="K79" s="30">
        <f>209</f>
        <v>209</v>
      </c>
      <c r="L79" s="31">
        <f>197.5</f>
        <v>197.5</v>
      </c>
      <c r="M79" s="26">
        <f>186.3</f>
        <v>186.3</v>
      </c>
      <c r="N79" s="26"/>
      <c r="O79" s="26"/>
      <c r="P79" s="26"/>
      <c r="Q79" s="26"/>
      <c r="R79" s="26"/>
      <c r="S79" s="32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</row>
    <row r="80" spans="1:72" ht="13" customHeight="1">
      <c r="A80" s="24" t="s">
        <v>137</v>
      </c>
      <c r="B80" s="24" t="s">
        <v>94</v>
      </c>
      <c r="C80" s="25" t="s">
        <v>138</v>
      </c>
      <c r="D80" s="25" t="s">
        <v>139</v>
      </c>
      <c r="E80" s="25" t="s">
        <v>142</v>
      </c>
      <c r="F80" s="25"/>
      <c r="G80" s="25"/>
      <c r="H80" s="38"/>
      <c r="I80" s="33" t="s">
        <v>158</v>
      </c>
      <c r="J80" s="29" t="s">
        <v>152</v>
      </c>
      <c r="K80" s="30">
        <f>0.5</f>
        <v>0.5</v>
      </c>
      <c r="L80" s="31">
        <f>0.4</f>
        <v>0.4</v>
      </c>
      <c r="M80" s="26">
        <f>0.5</f>
        <v>0.5</v>
      </c>
      <c r="N80" s="26"/>
      <c r="O80" s="26"/>
      <c r="P80" s="26"/>
      <c r="Q80" s="26"/>
      <c r="R80" s="26"/>
      <c r="S80" s="32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</row>
    <row r="81" spans="1:72" ht="13" customHeight="1">
      <c r="A81" s="24" t="s">
        <v>137</v>
      </c>
      <c r="B81" s="24" t="s">
        <v>94</v>
      </c>
      <c r="C81" s="25" t="s">
        <v>138</v>
      </c>
      <c r="D81" s="25" t="s">
        <v>139</v>
      </c>
      <c r="E81" s="25" t="s">
        <v>140</v>
      </c>
      <c r="F81" s="25"/>
      <c r="G81" s="25"/>
      <c r="H81" s="38"/>
      <c r="I81" s="33" t="s">
        <v>109</v>
      </c>
      <c r="J81" s="29" t="s">
        <v>152</v>
      </c>
      <c r="K81" s="30">
        <f>207</f>
        <v>207</v>
      </c>
      <c r="L81" s="31">
        <f>200</f>
        <v>200</v>
      </c>
      <c r="M81" s="26">
        <f>210</f>
        <v>210</v>
      </c>
      <c r="N81" s="26"/>
      <c r="O81" s="26"/>
      <c r="P81" s="26"/>
      <c r="Q81" s="26"/>
      <c r="R81" s="26"/>
      <c r="S81" s="32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</row>
    <row r="82" spans="1:72" ht="13" customHeight="1">
      <c r="A82" s="24" t="s">
        <v>137</v>
      </c>
      <c r="B82" s="24" t="s">
        <v>94</v>
      </c>
      <c r="C82" s="25" t="s">
        <v>138</v>
      </c>
      <c r="D82" s="25" t="s">
        <v>139</v>
      </c>
      <c r="E82" s="25" t="s">
        <v>140</v>
      </c>
      <c r="F82" s="25"/>
      <c r="G82" s="25"/>
      <c r="H82" s="38"/>
      <c r="I82" s="33" t="s">
        <v>159</v>
      </c>
      <c r="J82" s="29" t="s">
        <v>152</v>
      </c>
      <c r="K82" s="30">
        <f>264</f>
        <v>264</v>
      </c>
      <c r="L82" s="31">
        <f>165</f>
        <v>165</v>
      </c>
      <c r="M82" s="26">
        <f>185</f>
        <v>185</v>
      </c>
      <c r="N82" s="26"/>
      <c r="O82" s="26"/>
      <c r="P82" s="26"/>
      <c r="Q82" s="26"/>
      <c r="R82" s="26"/>
      <c r="S82" s="32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</row>
    <row r="83" spans="1:72" ht="13" customHeight="1">
      <c r="A83" s="24" t="s">
        <v>137</v>
      </c>
      <c r="B83" s="24" t="s">
        <v>94</v>
      </c>
      <c r="C83" s="25" t="s">
        <v>138</v>
      </c>
      <c r="D83" s="25" t="s">
        <v>139</v>
      </c>
      <c r="E83" s="25" t="s">
        <v>140</v>
      </c>
      <c r="F83" s="25"/>
      <c r="G83" s="25"/>
      <c r="H83" s="38"/>
      <c r="I83" s="33" t="s">
        <v>160</v>
      </c>
      <c r="J83" s="29" t="s">
        <v>152</v>
      </c>
      <c r="K83" s="30">
        <f>7</f>
        <v>7</v>
      </c>
      <c r="L83" s="31">
        <f>0</f>
        <v>0</v>
      </c>
      <c r="M83" s="26">
        <f>25</f>
        <v>25</v>
      </c>
      <c r="N83" s="26"/>
      <c r="O83" s="26"/>
      <c r="P83" s="26"/>
      <c r="Q83" s="26"/>
      <c r="R83" s="26"/>
      <c r="S83" s="32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</row>
    <row r="84" spans="1:72" ht="13" customHeight="1">
      <c r="A84" s="24" t="s">
        <v>137</v>
      </c>
      <c r="B84" s="24" t="s">
        <v>94</v>
      </c>
      <c r="C84" s="25" t="s">
        <v>138</v>
      </c>
      <c r="D84" s="25" t="s">
        <v>139</v>
      </c>
      <c r="E84" s="25" t="s">
        <v>140</v>
      </c>
      <c r="F84" s="25"/>
      <c r="G84" s="25"/>
      <c r="H84" s="38"/>
      <c r="I84" s="33" t="s">
        <v>161</v>
      </c>
      <c r="J84" s="29" t="s">
        <v>152</v>
      </c>
      <c r="K84" s="30">
        <f>46</f>
        <v>46</v>
      </c>
      <c r="L84" s="31">
        <f>0</f>
        <v>0</v>
      </c>
      <c r="M84" s="26">
        <f>0</f>
        <v>0</v>
      </c>
      <c r="N84" s="26"/>
      <c r="O84" s="26"/>
      <c r="P84" s="26"/>
      <c r="Q84" s="26"/>
      <c r="R84" s="26"/>
      <c r="S84" s="32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</row>
    <row r="85" spans="1:72" ht="13" customHeight="1">
      <c r="A85" s="24" t="s">
        <v>137</v>
      </c>
      <c r="B85" s="24" t="s">
        <v>94</v>
      </c>
      <c r="C85" s="25" t="s">
        <v>138</v>
      </c>
      <c r="D85" s="25" t="s">
        <v>139</v>
      </c>
      <c r="E85" s="25" t="s">
        <v>142</v>
      </c>
      <c r="F85" s="25"/>
      <c r="G85" s="25"/>
      <c r="H85" s="38"/>
      <c r="I85" s="33" t="s">
        <v>109</v>
      </c>
      <c r="J85" s="29" t="s">
        <v>152</v>
      </c>
      <c r="K85" s="30">
        <f>207</f>
        <v>207</v>
      </c>
      <c r="L85" s="31">
        <f>200</f>
        <v>200</v>
      </c>
      <c r="M85" s="26">
        <f>410</f>
        <v>410</v>
      </c>
      <c r="N85" s="26"/>
      <c r="O85" s="26"/>
      <c r="P85" s="26"/>
      <c r="Q85" s="26"/>
      <c r="R85" s="26"/>
      <c r="S85" s="32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</row>
    <row r="86" spans="1:72" ht="13" customHeight="1">
      <c r="A86" s="24" t="s">
        <v>137</v>
      </c>
      <c r="B86" s="24" t="s">
        <v>94</v>
      </c>
      <c r="C86" s="25" t="s">
        <v>138</v>
      </c>
      <c r="D86" s="25" t="s">
        <v>139</v>
      </c>
      <c r="E86" s="25" t="s">
        <v>142</v>
      </c>
      <c r="F86" s="25"/>
      <c r="G86" s="25"/>
      <c r="H86" s="38"/>
      <c r="I86" s="33" t="s">
        <v>159</v>
      </c>
      <c r="J86" s="29" t="s">
        <v>152</v>
      </c>
      <c r="K86" s="30">
        <f>264</f>
        <v>264</v>
      </c>
      <c r="L86" s="31">
        <f>231.8</f>
        <v>231.8</v>
      </c>
      <c r="M86" s="26">
        <f>285.8</f>
        <v>285.8</v>
      </c>
      <c r="N86" s="26"/>
      <c r="O86" s="26"/>
      <c r="P86" s="26"/>
      <c r="Q86" s="26"/>
      <c r="R86" s="26"/>
      <c r="S86" s="32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</row>
    <row r="87" spans="1:72" ht="13" customHeight="1">
      <c r="A87" s="24" t="s">
        <v>137</v>
      </c>
      <c r="B87" s="24" t="s">
        <v>94</v>
      </c>
      <c r="C87" s="25" t="s">
        <v>138</v>
      </c>
      <c r="D87" s="25" t="s">
        <v>139</v>
      </c>
      <c r="E87" s="25" t="s">
        <v>142</v>
      </c>
      <c r="F87" s="25"/>
      <c r="G87" s="25"/>
      <c r="H87" s="38"/>
      <c r="I87" s="33" t="s">
        <v>160</v>
      </c>
      <c r="J87" s="29" t="s">
        <v>152</v>
      </c>
      <c r="K87" s="30">
        <f>7</f>
        <v>7</v>
      </c>
      <c r="L87" s="31">
        <f>0</f>
        <v>0</v>
      </c>
      <c r="M87" s="26">
        <f>124.4</f>
        <v>124.4</v>
      </c>
      <c r="N87" s="26"/>
      <c r="O87" s="26"/>
      <c r="P87" s="26"/>
      <c r="Q87" s="26"/>
      <c r="R87" s="26"/>
      <c r="S87" s="32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</row>
    <row r="88" spans="1:72" ht="13" customHeight="1">
      <c r="A88" s="24" t="s">
        <v>137</v>
      </c>
      <c r="B88" s="24" t="s">
        <v>94</v>
      </c>
      <c r="C88" s="25" t="s">
        <v>138</v>
      </c>
      <c r="D88" s="25" t="s">
        <v>139</v>
      </c>
      <c r="E88" s="25" t="s">
        <v>142</v>
      </c>
      <c r="F88" s="25"/>
      <c r="G88" s="25"/>
      <c r="H88" s="38"/>
      <c r="I88" s="33" t="s">
        <v>161</v>
      </c>
      <c r="J88" s="29" t="s">
        <v>152</v>
      </c>
      <c r="K88" s="30">
        <f>46</f>
        <v>46</v>
      </c>
      <c r="L88" s="31">
        <f>25</f>
        <v>25</v>
      </c>
      <c r="M88" s="26">
        <f>0</f>
        <v>0</v>
      </c>
      <c r="N88" s="26"/>
      <c r="O88" s="26"/>
      <c r="P88" s="26"/>
      <c r="Q88" s="26"/>
      <c r="R88" s="26"/>
      <c r="S88" s="32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</row>
    <row r="89" spans="1:72" ht="13" customHeight="1">
      <c r="A89" s="24" t="s">
        <v>137</v>
      </c>
      <c r="B89" s="24" t="s">
        <v>94</v>
      </c>
      <c r="C89" s="25" t="s">
        <v>138</v>
      </c>
      <c r="D89" s="25" t="s">
        <v>139</v>
      </c>
      <c r="E89" s="25" t="s">
        <v>140</v>
      </c>
      <c r="F89" s="25"/>
      <c r="G89" s="25"/>
      <c r="H89" s="38"/>
      <c r="I89" s="33" t="s">
        <v>110</v>
      </c>
      <c r="J89" s="29" t="s">
        <v>152</v>
      </c>
      <c r="K89" s="30">
        <f>209</f>
        <v>209</v>
      </c>
      <c r="L89" s="31">
        <f>170</f>
        <v>170</v>
      </c>
      <c r="M89" s="26">
        <f>200</f>
        <v>200</v>
      </c>
      <c r="N89" s="26"/>
      <c r="O89" s="26"/>
      <c r="P89" s="26"/>
      <c r="Q89" s="26"/>
      <c r="R89" s="26"/>
      <c r="S89" s="32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</row>
    <row r="90" spans="1:72" ht="13" customHeight="1">
      <c r="A90" s="24" t="s">
        <v>137</v>
      </c>
      <c r="B90" s="24" t="s">
        <v>94</v>
      </c>
      <c r="C90" s="25" t="s">
        <v>138</v>
      </c>
      <c r="D90" s="25" t="s">
        <v>139</v>
      </c>
      <c r="E90" s="25" t="s">
        <v>140</v>
      </c>
      <c r="F90" s="25"/>
      <c r="G90" s="25"/>
      <c r="H90" s="38"/>
      <c r="I90" s="33" t="s">
        <v>162</v>
      </c>
      <c r="J90" s="29" t="s">
        <v>152</v>
      </c>
      <c r="K90" s="30">
        <f>149</f>
        <v>149</v>
      </c>
      <c r="L90" s="31">
        <f>100</f>
        <v>100</v>
      </c>
      <c r="M90" s="26">
        <f>130</f>
        <v>130</v>
      </c>
      <c r="N90" s="26"/>
      <c r="O90" s="26"/>
      <c r="P90" s="26"/>
      <c r="Q90" s="26"/>
      <c r="R90" s="26"/>
      <c r="S90" s="32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</row>
    <row r="91" spans="1:72" ht="13" customHeight="1">
      <c r="A91" s="24" t="s">
        <v>137</v>
      </c>
      <c r="B91" s="24" t="s">
        <v>94</v>
      </c>
      <c r="C91" s="25" t="s">
        <v>138</v>
      </c>
      <c r="D91" s="25" t="s">
        <v>139</v>
      </c>
      <c r="E91" s="25" t="s">
        <v>140</v>
      </c>
      <c r="F91" s="25"/>
      <c r="G91" s="25"/>
      <c r="H91" s="38"/>
      <c r="I91" s="33" t="s">
        <v>163</v>
      </c>
      <c r="J91" s="29" t="s">
        <v>152</v>
      </c>
      <c r="K91" s="30">
        <f>64</f>
        <v>64</v>
      </c>
      <c r="L91" s="31">
        <f>70</f>
        <v>70</v>
      </c>
      <c r="M91" s="26">
        <f>70</f>
        <v>70</v>
      </c>
      <c r="N91" s="26"/>
      <c r="O91" s="26"/>
      <c r="P91" s="26"/>
      <c r="Q91" s="26"/>
      <c r="R91" s="26"/>
      <c r="S91" s="32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</row>
    <row r="92" spans="1:72" ht="13" customHeight="1">
      <c r="A92" s="24" t="s">
        <v>137</v>
      </c>
      <c r="B92" s="24" t="s">
        <v>94</v>
      </c>
      <c r="C92" s="25" t="s">
        <v>138</v>
      </c>
      <c r="D92" s="25" t="s">
        <v>139</v>
      </c>
      <c r="E92" s="25" t="s">
        <v>140</v>
      </c>
      <c r="F92" s="25"/>
      <c r="G92" s="25"/>
      <c r="H92" s="38"/>
      <c r="I92" s="33" t="s">
        <v>164</v>
      </c>
      <c r="J92" s="29" t="s">
        <v>152</v>
      </c>
      <c r="K92" s="30">
        <f>4</f>
        <v>4</v>
      </c>
      <c r="L92" s="31">
        <f>0</f>
        <v>0</v>
      </c>
      <c r="M92" s="26">
        <f>0</f>
        <v>0</v>
      </c>
      <c r="N92" s="26"/>
      <c r="O92" s="26"/>
      <c r="P92" s="26"/>
      <c r="Q92" s="26"/>
      <c r="R92" s="26"/>
      <c r="S92" s="32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</row>
    <row r="93" spans="1:72" ht="13" customHeight="1">
      <c r="A93" s="24" t="s">
        <v>137</v>
      </c>
      <c r="B93" s="24" t="s">
        <v>94</v>
      </c>
      <c r="C93" s="25" t="s">
        <v>138</v>
      </c>
      <c r="D93" s="25" t="s">
        <v>139</v>
      </c>
      <c r="E93" s="25" t="s">
        <v>142</v>
      </c>
      <c r="F93" s="25"/>
      <c r="G93" s="25"/>
      <c r="H93" s="38"/>
      <c r="I93" s="33" t="s">
        <v>110</v>
      </c>
      <c r="J93" s="29" t="s">
        <v>152</v>
      </c>
      <c r="K93" s="30">
        <f>209</f>
        <v>209</v>
      </c>
      <c r="L93" s="31">
        <f>215</f>
        <v>215</v>
      </c>
      <c r="M93" s="26">
        <f>235</f>
        <v>235</v>
      </c>
      <c r="N93" s="26"/>
      <c r="O93" s="26"/>
      <c r="P93" s="26"/>
      <c r="Q93" s="26"/>
      <c r="R93" s="26"/>
      <c r="S93" s="32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</row>
    <row r="94" spans="1:72" ht="13" customHeight="1">
      <c r="A94" s="24" t="s">
        <v>137</v>
      </c>
      <c r="B94" s="24" t="s">
        <v>94</v>
      </c>
      <c r="C94" s="25" t="s">
        <v>138</v>
      </c>
      <c r="D94" s="25" t="s">
        <v>139</v>
      </c>
      <c r="E94" s="25" t="s">
        <v>142</v>
      </c>
      <c r="F94" s="25"/>
      <c r="G94" s="25"/>
      <c r="H94" s="38"/>
      <c r="I94" s="33" t="s">
        <v>162</v>
      </c>
      <c r="J94" s="29" t="s">
        <v>152</v>
      </c>
      <c r="K94" s="30">
        <f>149</f>
        <v>149</v>
      </c>
      <c r="L94" s="31">
        <f>105</f>
        <v>105</v>
      </c>
      <c r="M94" s="26">
        <f>135</f>
        <v>135</v>
      </c>
      <c r="N94" s="26"/>
      <c r="O94" s="26"/>
      <c r="P94" s="26"/>
      <c r="Q94" s="26"/>
      <c r="R94" s="26"/>
      <c r="S94" s="32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</row>
    <row r="95" spans="1:72" ht="13" customHeight="1">
      <c r="A95" s="24" t="s">
        <v>137</v>
      </c>
      <c r="B95" s="24" t="s">
        <v>94</v>
      </c>
      <c r="C95" s="25" t="s">
        <v>138</v>
      </c>
      <c r="D95" s="25" t="s">
        <v>139</v>
      </c>
      <c r="E95" s="25" t="s">
        <v>142</v>
      </c>
      <c r="F95" s="25"/>
      <c r="G95" s="25"/>
      <c r="H95" s="38"/>
      <c r="I95" s="33" t="s">
        <v>163</v>
      </c>
      <c r="J95" s="29" t="s">
        <v>152</v>
      </c>
      <c r="K95" s="30">
        <f>64</f>
        <v>64</v>
      </c>
      <c r="L95" s="31">
        <f>110</f>
        <v>110</v>
      </c>
      <c r="M95" s="26">
        <f>100</f>
        <v>100</v>
      </c>
      <c r="N95" s="26"/>
      <c r="O95" s="26"/>
      <c r="P95" s="26"/>
      <c r="Q95" s="26"/>
      <c r="R95" s="26"/>
      <c r="S95" s="32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</row>
    <row r="96" spans="1:72" ht="13" customHeight="1">
      <c r="A96" s="24" t="s">
        <v>137</v>
      </c>
      <c r="B96" s="24" t="s">
        <v>94</v>
      </c>
      <c r="C96" s="25" t="s">
        <v>138</v>
      </c>
      <c r="D96" s="25" t="s">
        <v>139</v>
      </c>
      <c r="E96" s="25" t="s">
        <v>142</v>
      </c>
      <c r="F96" s="25"/>
      <c r="G96" s="25"/>
      <c r="H96" s="38"/>
      <c r="I96" s="33" t="s">
        <v>164</v>
      </c>
      <c r="J96" s="29" t="s">
        <v>152</v>
      </c>
      <c r="K96" s="30">
        <f>4</f>
        <v>4</v>
      </c>
      <c r="L96" s="31">
        <f>0</f>
        <v>0</v>
      </c>
      <c r="M96" s="26">
        <f>0</f>
        <v>0</v>
      </c>
      <c r="N96" s="26"/>
      <c r="O96" s="26"/>
      <c r="P96" s="26"/>
      <c r="Q96" s="26"/>
      <c r="R96" s="26"/>
      <c r="S96" s="32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</row>
    <row r="97" spans="1:72" ht="13" customHeight="1">
      <c r="A97" s="24" t="s">
        <v>25</v>
      </c>
      <c r="B97" s="24" t="s">
        <v>165</v>
      </c>
      <c r="C97" s="26"/>
      <c r="D97" s="39" t="s">
        <v>166</v>
      </c>
      <c r="E97" s="24" t="s">
        <v>167</v>
      </c>
      <c r="F97" s="24"/>
      <c r="G97" s="24"/>
      <c r="H97" s="40"/>
      <c r="I97" s="28" t="s">
        <v>168</v>
      </c>
      <c r="J97" s="29" t="s">
        <v>98</v>
      </c>
      <c r="K97" s="41">
        <f>1</f>
        <v>1</v>
      </c>
      <c r="L97" s="42">
        <f>1.34</f>
        <v>1.34</v>
      </c>
      <c r="M97" s="43">
        <f>1.851</f>
        <v>1.851</v>
      </c>
      <c r="N97" s="43">
        <f>2.375</f>
        <v>2.375</v>
      </c>
      <c r="O97" s="26"/>
      <c r="P97" s="26"/>
      <c r="Q97" s="26"/>
      <c r="R97" s="26"/>
      <c r="S97" s="32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</row>
    <row r="98" spans="1:72" ht="13" customHeight="1">
      <c r="A98" s="24" t="s">
        <v>25</v>
      </c>
      <c r="B98" s="24" t="s">
        <v>165</v>
      </c>
      <c r="C98" s="26"/>
      <c r="D98" s="39" t="s">
        <v>166</v>
      </c>
      <c r="E98" s="24" t="s">
        <v>167</v>
      </c>
      <c r="F98" s="24"/>
      <c r="G98" s="24"/>
      <c r="H98" s="40"/>
      <c r="I98" s="28" t="s">
        <v>169</v>
      </c>
      <c r="J98" s="29" t="s">
        <v>98</v>
      </c>
      <c r="K98" s="30"/>
      <c r="L98" s="44">
        <f>0.0146</f>
        <v>1.46E-2</v>
      </c>
      <c r="M98" s="45">
        <f>0.0192</f>
        <v>1.9199999999999998E-2</v>
      </c>
      <c r="N98" s="45">
        <f>0.0225</f>
        <v>2.2499999999999999E-2</v>
      </c>
      <c r="O98" s="26"/>
      <c r="P98" s="26"/>
      <c r="Q98" s="26"/>
      <c r="R98" s="26"/>
      <c r="S98" s="32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</row>
    <row r="99" spans="1:72" ht="13" customHeight="1">
      <c r="A99" s="24" t="s">
        <v>25</v>
      </c>
      <c r="B99" s="24" t="s">
        <v>165</v>
      </c>
      <c r="C99" s="26"/>
      <c r="D99" s="39" t="s">
        <v>166</v>
      </c>
      <c r="E99" s="24" t="s">
        <v>167</v>
      </c>
      <c r="F99" s="24"/>
      <c r="G99" s="24"/>
      <c r="H99" s="40"/>
      <c r="I99" s="28" t="s">
        <v>170</v>
      </c>
      <c r="J99" s="29" t="s">
        <v>98</v>
      </c>
      <c r="K99" s="30"/>
      <c r="L99" s="46">
        <f>0.287</f>
        <v>0.28699999999999998</v>
      </c>
      <c r="M99" s="47">
        <f>0.264</f>
        <v>0.26400000000000001</v>
      </c>
      <c r="N99" s="47">
        <f>0.208</f>
        <v>0.20799999999999999</v>
      </c>
      <c r="O99" s="26"/>
      <c r="P99" s="26"/>
      <c r="Q99" s="26"/>
      <c r="R99" s="26"/>
      <c r="S99" s="32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</row>
    <row r="100" spans="1:72" ht="13" customHeight="1">
      <c r="A100" s="24" t="s">
        <v>25</v>
      </c>
      <c r="B100" s="24" t="s">
        <v>165</v>
      </c>
      <c r="C100" s="26"/>
      <c r="D100" s="39" t="s">
        <v>166</v>
      </c>
      <c r="E100" s="24" t="s">
        <v>167</v>
      </c>
      <c r="F100" s="24"/>
      <c r="G100" s="24"/>
      <c r="H100" s="40"/>
      <c r="I100" s="28" t="s">
        <v>171</v>
      </c>
      <c r="J100" s="29" t="s">
        <v>98</v>
      </c>
      <c r="K100" s="30"/>
      <c r="L100" s="46">
        <f>1.565</f>
        <v>1.5649999999999999</v>
      </c>
      <c r="M100" s="47">
        <f>1.956</f>
        <v>1.956</v>
      </c>
      <c r="N100" s="47">
        <f>2.93</f>
        <v>2.93</v>
      </c>
      <c r="O100" s="26"/>
      <c r="P100" s="26"/>
      <c r="Q100" s="26"/>
      <c r="R100" s="26"/>
      <c r="S100" s="32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</row>
    <row r="101" spans="1:72" ht="13" customHeight="1">
      <c r="A101" s="24" t="s">
        <v>25</v>
      </c>
      <c r="B101" s="24" t="s">
        <v>165</v>
      </c>
      <c r="C101" s="26"/>
      <c r="D101" s="39" t="s">
        <v>166</v>
      </c>
      <c r="E101" s="24" t="s">
        <v>167</v>
      </c>
      <c r="F101" s="24"/>
      <c r="G101" s="24"/>
      <c r="H101" s="40"/>
      <c r="I101" s="28" t="s">
        <v>172</v>
      </c>
      <c r="J101" s="29" t="s">
        <v>173</v>
      </c>
      <c r="K101" s="30"/>
      <c r="L101" s="31">
        <f>74.1</f>
        <v>74.099999999999994</v>
      </c>
      <c r="M101" s="26">
        <f>86.2</f>
        <v>86.2</v>
      </c>
      <c r="N101" s="26">
        <f>91.7</f>
        <v>91.7</v>
      </c>
      <c r="O101" s="26"/>
      <c r="P101" s="26"/>
      <c r="Q101" s="26"/>
      <c r="R101" s="26"/>
      <c r="S101" s="32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</row>
    <row r="102" spans="1:72" ht="13" customHeight="1">
      <c r="A102" s="24" t="s">
        <v>25</v>
      </c>
      <c r="B102" s="24" t="s">
        <v>165</v>
      </c>
      <c r="C102" s="26"/>
      <c r="D102" s="39" t="s">
        <v>166</v>
      </c>
      <c r="E102" s="24" t="s">
        <v>167</v>
      </c>
      <c r="F102" s="24"/>
      <c r="G102" s="24"/>
      <c r="H102" s="40"/>
      <c r="I102" s="28" t="s">
        <v>174</v>
      </c>
      <c r="J102" s="29" t="s">
        <v>175</v>
      </c>
      <c r="K102" s="30"/>
      <c r="L102" s="31">
        <f>3.6</f>
        <v>3.6</v>
      </c>
      <c r="M102" s="26">
        <f>4.5</f>
        <v>4.5</v>
      </c>
      <c r="N102" s="26">
        <f>4.4</f>
        <v>4.4000000000000004</v>
      </c>
      <c r="O102" s="26"/>
      <c r="P102" s="26"/>
      <c r="Q102" s="26"/>
      <c r="R102" s="26"/>
      <c r="S102" s="32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</row>
    <row r="103" spans="1:72" ht="13" customHeight="1">
      <c r="A103" s="24" t="s">
        <v>25</v>
      </c>
      <c r="B103" s="24" t="s">
        <v>165</v>
      </c>
      <c r="C103" s="26"/>
      <c r="D103" s="39" t="s">
        <v>166</v>
      </c>
      <c r="E103" s="24" t="s">
        <v>167</v>
      </c>
      <c r="F103" s="24"/>
      <c r="G103" s="24"/>
      <c r="H103" s="40"/>
      <c r="I103" s="28" t="s">
        <v>176</v>
      </c>
      <c r="J103" s="29" t="s">
        <v>175</v>
      </c>
      <c r="K103" s="30"/>
      <c r="L103" s="31">
        <f>15.6</f>
        <v>15.6</v>
      </c>
      <c r="M103" s="26">
        <f>16.7</f>
        <v>16.7</v>
      </c>
      <c r="N103" s="26">
        <f>18.3</f>
        <v>18.3</v>
      </c>
      <c r="O103" s="26"/>
      <c r="P103" s="26"/>
      <c r="Q103" s="26"/>
      <c r="R103" s="26"/>
      <c r="S103" s="32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</row>
    <row r="104" spans="1:72" ht="13" customHeight="1">
      <c r="A104" s="24" t="s">
        <v>25</v>
      </c>
      <c r="B104" s="24" t="s">
        <v>165</v>
      </c>
      <c r="C104" s="26"/>
      <c r="D104" s="39" t="s">
        <v>166</v>
      </c>
      <c r="E104" s="24" t="s">
        <v>167</v>
      </c>
      <c r="F104" s="24"/>
      <c r="G104" s="24"/>
      <c r="H104" s="40"/>
      <c r="I104" s="28" t="s">
        <v>177</v>
      </c>
      <c r="J104" s="29" t="s">
        <v>175</v>
      </c>
      <c r="K104" s="30"/>
      <c r="L104" s="31">
        <f>60.5</f>
        <v>60.5</v>
      </c>
      <c r="M104" s="26">
        <f>71.4</f>
        <v>71.400000000000006</v>
      </c>
      <c r="N104" s="26">
        <f>73.2</f>
        <v>73.2</v>
      </c>
      <c r="O104" s="26"/>
      <c r="P104" s="26"/>
      <c r="Q104" s="26"/>
      <c r="R104" s="26"/>
      <c r="S104" s="32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</row>
    <row r="105" spans="1:72" ht="13" customHeight="1">
      <c r="A105" s="24" t="s">
        <v>25</v>
      </c>
      <c r="B105" s="24" t="s">
        <v>165</v>
      </c>
      <c r="C105" s="26"/>
      <c r="D105" s="39" t="s">
        <v>166</v>
      </c>
      <c r="E105" s="24" t="s">
        <v>167</v>
      </c>
      <c r="F105" s="24"/>
      <c r="G105" s="24"/>
      <c r="H105" s="40"/>
      <c r="I105" s="28" t="s">
        <v>178</v>
      </c>
      <c r="J105" s="29" t="s">
        <v>179</v>
      </c>
      <c r="K105" s="30"/>
      <c r="L105" s="31">
        <v>305.89999999999998</v>
      </c>
      <c r="M105" s="26">
        <f>352.8</f>
        <v>352.8</v>
      </c>
      <c r="N105" s="26">
        <f>368.2</f>
        <v>368.2</v>
      </c>
      <c r="O105" s="26"/>
      <c r="P105" s="26"/>
      <c r="Q105" s="26"/>
      <c r="R105" s="26"/>
      <c r="S105" s="32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</row>
    <row r="106" spans="1:72" ht="13" customHeight="1">
      <c r="A106" s="24" t="s">
        <v>25</v>
      </c>
      <c r="B106" s="24" t="s">
        <v>165</v>
      </c>
      <c r="C106" s="26"/>
      <c r="D106" s="39" t="s">
        <v>166</v>
      </c>
      <c r="E106" s="24" t="s">
        <v>167</v>
      </c>
      <c r="F106" s="24"/>
      <c r="G106" s="24"/>
      <c r="H106" s="40"/>
      <c r="I106" s="28" t="s">
        <v>180</v>
      </c>
      <c r="J106" s="29" t="s">
        <v>179</v>
      </c>
      <c r="K106" s="30"/>
      <c r="L106" s="31">
        <f>77.3</f>
        <v>77.3</v>
      </c>
      <c r="M106" s="26">
        <f>88.5</f>
        <v>88.5</v>
      </c>
      <c r="N106" s="26">
        <f>87.6</f>
        <v>87.6</v>
      </c>
      <c r="O106" s="26"/>
      <c r="P106" s="26"/>
      <c r="Q106" s="26"/>
      <c r="R106" s="26"/>
      <c r="S106" s="32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</row>
    <row r="107" spans="1:72" ht="13" customHeight="1">
      <c r="A107" s="24" t="s">
        <v>25</v>
      </c>
      <c r="B107" s="24" t="s">
        <v>165</v>
      </c>
      <c r="C107" s="26"/>
      <c r="D107" s="39" t="s">
        <v>166</v>
      </c>
      <c r="E107" s="25" t="s">
        <v>140</v>
      </c>
      <c r="F107" s="25"/>
      <c r="G107" s="25"/>
      <c r="H107" s="38"/>
      <c r="I107" s="28" t="s">
        <v>181</v>
      </c>
      <c r="J107" s="29" t="s">
        <v>100</v>
      </c>
      <c r="K107" s="30">
        <f>19078</f>
        <v>19078</v>
      </c>
      <c r="L107" s="31">
        <f>22758</f>
        <v>22758</v>
      </c>
      <c r="M107" s="26">
        <f>26451</f>
        <v>26451</v>
      </c>
      <c r="N107" s="26">
        <f>26451</f>
        <v>26451</v>
      </c>
      <c r="O107" s="26"/>
      <c r="P107" s="26"/>
      <c r="Q107" s="26"/>
      <c r="R107" s="26"/>
      <c r="S107" s="32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</row>
    <row r="108" spans="1:72" ht="13" customHeight="1">
      <c r="A108" s="24" t="s">
        <v>25</v>
      </c>
      <c r="B108" s="24" t="s">
        <v>165</v>
      </c>
      <c r="C108" s="26"/>
      <c r="D108" s="39" t="s">
        <v>166</v>
      </c>
      <c r="E108" s="25" t="s">
        <v>140</v>
      </c>
      <c r="F108" s="25"/>
      <c r="G108" s="25"/>
      <c r="H108" s="38"/>
      <c r="I108" s="33" t="s">
        <v>113</v>
      </c>
      <c r="J108" s="29" t="s">
        <v>100</v>
      </c>
      <c r="K108" s="30">
        <f>19224</f>
        <v>19224</v>
      </c>
      <c r="L108" s="31">
        <f>20280</f>
        <v>20280</v>
      </c>
      <c r="M108" s="26">
        <f>22520</f>
        <v>22520</v>
      </c>
      <c r="N108" s="26">
        <f>24500</f>
        <v>24500</v>
      </c>
      <c r="O108" s="26"/>
      <c r="P108" s="26"/>
      <c r="Q108" s="26"/>
      <c r="R108" s="26"/>
      <c r="S108" s="32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</row>
    <row r="109" spans="1:72" ht="13" customHeight="1">
      <c r="A109" s="24" t="s">
        <v>25</v>
      </c>
      <c r="B109" s="24" t="s">
        <v>165</v>
      </c>
      <c r="C109" s="26"/>
      <c r="D109" s="39" t="s">
        <v>166</v>
      </c>
      <c r="E109" s="25" t="s">
        <v>140</v>
      </c>
      <c r="F109" s="25"/>
      <c r="G109" s="25"/>
      <c r="H109" s="38"/>
      <c r="I109" s="33" t="s">
        <v>182</v>
      </c>
      <c r="J109" s="29" t="s">
        <v>100</v>
      </c>
      <c r="K109" s="30">
        <f>14576</f>
        <v>14576</v>
      </c>
      <c r="L109" s="31">
        <f>15765</f>
        <v>15765</v>
      </c>
      <c r="M109" s="26">
        <f>16720</f>
        <v>16720</v>
      </c>
      <c r="N109" s="26">
        <f>17650</f>
        <v>17650</v>
      </c>
      <c r="O109" s="26"/>
      <c r="P109" s="26"/>
      <c r="Q109" s="26"/>
      <c r="R109" s="26"/>
      <c r="S109" s="32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</row>
    <row r="110" spans="1:72" ht="13" customHeight="1">
      <c r="A110" s="24" t="s">
        <v>25</v>
      </c>
      <c r="B110" s="24" t="s">
        <v>165</v>
      </c>
      <c r="C110" s="26"/>
      <c r="D110" s="39" t="s">
        <v>166</v>
      </c>
      <c r="E110" s="25" t="s">
        <v>140</v>
      </c>
      <c r="F110" s="25"/>
      <c r="G110" s="25"/>
      <c r="H110" s="38"/>
      <c r="I110" s="33" t="s">
        <v>183</v>
      </c>
      <c r="J110" s="29" t="s">
        <v>100</v>
      </c>
      <c r="K110" s="30">
        <f>4648</f>
        <v>4648</v>
      </c>
      <c r="L110" s="31">
        <f>4515</f>
        <v>4515</v>
      </c>
      <c r="M110" s="26">
        <f>5800</f>
        <v>5800</v>
      </c>
      <c r="N110" s="26">
        <f>6850</f>
        <v>6850</v>
      </c>
      <c r="O110" s="26"/>
      <c r="P110" s="26"/>
      <c r="Q110" s="26"/>
      <c r="R110" s="26"/>
      <c r="S110" s="32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</row>
    <row r="111" spans="1:72" ht="13" customHeight="1">
      <c r="A111" s="24" t="s">
        <v>25</v>
      </c>
      <c r="B111" s="24" t="s">
        <v>165</v>
      </c>
      <c r="C111" s="26"/>
      <c r="D111" s="39" t="s">
        <v>166</v>
      </c>
      <c r="E111" s="25" t="s">
        <v>140</v>
      </c>
      <c r="F111" s="25"/>
      <c r="G111" s="25"/>
      <c r="H111" s="38"/>
      <c r="I111" s="33" t="s">
        <v>184</v>
      </c>
      <c r="J111" s="29" t="s">
        <v>100</v>
      </c>
      <c r="K111" s="30">
        <f>0</f>
        <v>0</v>
      </c>
      <c r="L111" s="31">
        <f>0</f>
        <v>0</v>
      </c>
      <c r="M111" s="26">
        <f>0</f>
        <v>0</v>
      </c>
      <c r="N111" s="26">
        <f>0</f>
        <v>0</v>
      </c>
      <c r="O111" s="26"/>
      <c r="P111" s="26"/>
      <c r="Q111" s="26"/>
      <c r="R111" s="26"/>
      <c r="S111" s="32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</row>
    <row r="112" spans="1:72" ht="13" customHeight="1">
      <c r="A112" s="24" t="s">
        <v>25</v>
      </c>
      <c r="B112" s="24" t="s">
        <v>165</v>
      </c>
      <c r="C112" s="26"/>
      <c r="D112" s="39" t="s">
        <v>166</v>
      </c>
      <c r="E112" s="25" t="s">
        <v>142</v>
      </c>
      <c r="F112" s="25"/>
      <c r="G112" s="25"/>
      <c r="H112" s="38"/>
      <c r="I112" s="33" t="s">
        <v>181</v>
      </c>
      <c r="J112" s="29" t="s">
        <v>100</v>
      </c>
      <c r="K112" s="30">
        <f>19078</f>
        <v>19078</v>
      </c>
      <c r="L112" s="31">
        <f>23283</f>
        <v>23283</v>
      </c>
      <c r="M112" s="26">
        <f>27201</f>
        <v>27201</v>
      </c>
      <c r="N112" s="26">
        <f>27201</f>
        <v>27201</v>
      </c>
      <c r="O112" s="26"/>
      <c r="P112" s="26"/>
      <c r="Q112" s="26"/>
      <c r="R112" s="26"/>
      <c r="S112" s="32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</row>
    <row r="113" spans="1:72" ht="13" customHeight="1">
      <c r="A113" s="24" t="s">
        <v>25</v>
      </c>
      <c r="B113" s="24" t="s">
        <v>165</v>
      </c>
      <c r="C113" s="26"/>
      <c r="D113" s="39" t="s">
        <v>166</v>
      </c>
      <c r="E113" s="25" t="s">
        <v>142</v>
      </c>
      <c r="F113" s="25"/>
      <c r="G113" s="25"/>
      <c r="H113" s="38"/>
      <c r="I113" s="33" t="s">
        <v>113</v>
      </c>
      <c r="J113" s="29" t="s">
        <v>100</v>
      </c>
      <c r="K113" s="30">
        <f>19224</f>
        <v>19224</v>
      </c>
      <c r="L113" s="31">
        <f>21070</f>
        <v>21070</v>
      </c>
      <c r="M113" s="26">
        <f>25500</f>
        <v>25500</v>
      </c>
      <c r="N113" s="26">
        <f>27200</f>
        <v>27200</v>
      </c>
      <c r="O113" s="26"/>
      <c r="P113" s="26"/>
      <c r="Q113" s="26"/>
      <c r="R113" s="26"/>
      <c r="S113" s="32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</row>
    <row r="114" spans="1:72" ht="13" customHeight="1">
      <c r="A114" s="24" t="s">
        <v>25</v>
      </c>
      <c r="B114" s="24" t="s">
        <v>165</v>
      </c>
      <c r="C114" s="26"/>
      <c r="D114" s="39" t="s">
        <v>166</v>
      </c>
      <c r="E114" s="25" t="s">
        <v>142</v>
      </c>
      <c r="F114" s="25"/>
      <c r="G114" s="25"/>
      <c r="H114" s="38"/>
      <c r="I114" s="33" t="s">
        <v>182</v>
      </c>
      <c r="J114" s="29" t="s">
        <v>100</v>
      </c>
      <c r="K114" s="30">
        <f>14576</f>
        <v>14576</v>
      </c>
      <c r="L114" s="31">
        <f>16470</f>
        <v>16470</v>
      </c>
      <c r="M114" s="26">
        <f>18900</f>
        <v>18900</v>
      </c>
      <c r="N114" s="26">
        <f>19700</f>
        <v>19700</v>
      </c>
      <c r="O114" s="26"/>
      <c r="P114" s="26"/>
      <c r="Q114" s="26"/>
      <c r="R114" s="26"/>
      <c r="S114" s="32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</row>
    <row r="115" spans="1:72" ht="13" customHeight="1">
      <c r="A115" s="24" t="s">
        <v>25</v>
      </c>
      <c r="B115" s="24" t="s">
        <v>165</v>
      </c>
      <c r="C115" s="26"/>
      <c r="D115" s="39" t="s">
        <v>166</v>
      </c>
      <c r="E115" s="25" t="s">
        <v>142</v>
      </c>
      <c r="F115" s="25"/>
      <c r="G115" s="25"/>
      <c r="H115" s="38"/>
      <c r="I115" s="33" t="s">
        <v>183</v>
      </c>
      <c r="J115" s="29" t="s">
        <v>100</v>
      </c>
      <c r="K115" s="30">
        <f>4648</f>
        <v>4648</v>
      </c>
      <c r="L115" s="31">
        <f>4600</f>
        <v>4600</v>
      </c>
      <c r="M115" s="26">
        <f>6600</f>
        <v>6600</v>
      </c>
      <c r="N115" s="26">
        <f>7500</f>
        <v>7500</v>
      </c>
      <c r="O115" s="26"/>
      <c r="P115" s="26"/>
      <c r="Q115" s="26"/>
      <c r="R115" s="26"/>
      <c r="S115" s="32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</row>
    <row r="116" spans="1:72" ht="13" customHeight="1">
      <c r="A116" s="24" t="s">
        <v>25</v>
      </c>
      <c r="B116" s="24" t="s">
        <v>165</v>
      </c>
      <c r="C116" s="26"/>
      <c r="D116" s="39" t="s">
        <v>166</v>
      </c>
      <c r="E116" s="25" t="s">
        <v>142</v>
      </c>
      <c r="F116" s="25"/>
      <c r="G116" s="25"/>
      <c r="H116" s="38"/>
      <c r="I116" s="33" t="s">
        <v>184</v>
      </c>
      <c r="J116" s="29" t="s">
        <v>100</v>
      </c>
      <c r="K116" s="30">
        <f>0</f>
        <v>0</v>
      </c>
      <c r="L116" s="31">
        <f>0</f>
        <v>0</v>
      </c>
      <c r="M116" s="26">
        <f>0</f>
        <v>0</v>
      </c>
      <c r="N116" s="26">
        <f>0</f>
        <v>0</v>
      </c>
      <c r="O116" s="26"/>
      <c r="P116" s="26"/>
      <c r="Q116" s="26"/>
      <c r="R116" s="26"/>
      <c r="S116" s="32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</row>
    <row r="117" spans="1:72" ht="13" customHeight="1">
      <c r="A117" s="24" t="s">
        <v>25</v>
      </c>
      <c r="B117" s="24" t="s">
        <v>165</v>
      </c>
      <c r="C117" s="26"/>
      <c r="D117" s="39" t="s">
        <v>166</v>
      </c>
      <c r="E117" s="25" t="s">
        <v>140</v>
      </c>
      <c r="F117" s="25"/>
      <c r="G117" s="25"/>
      <c r="H117" s="38"/>
      <c r="I117" s="28" t="s">
        <v>185</v>
      </c>
      <c r="J117" s="29" t="s">
        <v>100</v>
      </c>
      <c r="K117" s="30">
        <f>4748</f>
        <v>4748</v>
      </c>
      <c r="L117" s="31">
        <f>9503</f>
        <v>9503</v>
      </c>
      <c r="M117" s="26">
        <f>14703</f>
        <v>14703</v>
      </c>
      <c r="N117" s="26">
        <f>14703</f>
        <v>14703</v>
      </c>
      <c r="O117" s="26"/>
      <c r="P117" s="26"/>
      <c r="Q117" s="26"/>
      <c r="R117" s="26"/>
      <c r="S117" s="32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</row>
    <row r="118" spans="1:72" ht="13" customHeight="1">
      <c r="A118" s="24" t="s">
        <v>25</v>
      </c>
      <c r="B118" s="24" t="s">
        <v>165</v>
      </c>
      <c r="C118" s="26"/>
      <c r="D118" s="39" t="s">
        <v>166</v>
      </c>
      <c r="E118" s="25" t="s">
        <v>140</v>
      </c>
      <c r="F118" s="25"/>
      <c r="G118" s="25"/>
      <c r="H118" s="38"/>
      <c r="I118" s="33" t="s">
        <v>118</v>
      </c>
      <c r="J118" s="29" t="s">
        <v>100</v>
      </c>
      <c r="K118" s="30">
        <f>4529</f>
        <v>4529</v>
      </c>
      <c r="L118" s="31">
        <f>6770</f>
        <v>6770</v>
      </c>
      <c r="M118" s="26">
        <f>11570</f>
        <v>11570</v>
      </c>
      <c r="N118" s="26">
        <f>11570</f>
        <v>11570</v>
      </c>
      <c r="O118" s="26"/>
      <c r="P118" s="26"/>
      <c r="Q118" s="26"/>
      <c r="R118" s="26"/>
      <c r="S118" s="32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</row>
    <row r="119" spans="1:72" ht="13" customHeight="1">
      <c r="A119" s="24" t="s">
        <v>25</v>
      </c>
      <c r="B119" s="24" t="s">
        <v>165</v>
      </c>
      <c r="C119" s="26"/>
      <c r="D119" s="39" t="s">
        <v>166</v>
      </c>
      <c r="E119" s="25" t="s">
        <v>140</v>
      </c>
      <c r="F119" s="25"/>
      <c r="G119" s="25"/>
      <c r="H119" s="38"/>
      <c r="I119" s="33" t="s">
        <v>186</v>
      </c>
      <c r="J119" s="29" t="s">
        <v>100</v>
      </c>
      <c r="K119" s="30">
        <f>2425</f>
        <v>2425</v>
      </c>
      <c r="L119" s="31">
        <f>2500</f>
        <v>2500</v>
      </c>
      <c r="M119" s="26">
        <f>2985</f>
        <v>2985</v>
      </c>
      <c r="N119" s="26">
        <f>3100</f>
        <v>3100</v>
      </c>
      <c r="O119" s="26"/>
      <c r="P119" s="26"/>
      <c r="Q119" s="26"/>
      <c r="R119" s="26"/>
      <c r="S119" s="32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</row>
    <row r="120" spans="1:72" ht="13" customHeight="1">
      <c r="A120" s="24" t="s">
        <v>25</v>
      </c>
      <c r="B120" s="24" t="s">
        <v>165</v>
      </c>
      <c r="C120" s="26"/>
      <c r="D120" s="39" t="s">
        <v>166</v>
      </c>
      <c r="E120" s="25" t="s">
        <v>140</v>
      </c>
      <c r="F120" s="25"/>
      <c r="G120" s="25"/>
      <c r="H120" s="38"/>
      <c r="I120" s="33" t="s">
        <v>187</v>
      </c>
      <c r="J120" s="29" t="s">
        <v>100</v>
      </c>
      <c r="K120" s="30">
        <f>2111</f>
        <v>2111</v>
      </c>
      <c r="L120" s="31">
        <f>4270</f>
        <v>4270</v>
      </c>
      <c r="M120" s="26">
        <f>8765</f>
        <v>8765</v>
      </c>
      <c r="N120" s="26">
        <f>8955</f>
        <v>8955</v>
      </c>
      <c r="O120" s="26"/>
      <c r="P120" s="26"/>
      <c r="Q120" s="26"/>
      <c r="R120" s="26"/>
      <c r="S120" s="32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</row>
    <row r="121" spans="1:72" ht="13" customHeight="1">
      <c r="A121" s="24" t="s">
        <v>25</v>
      </c>
      <c r="B121" s="24" t="s">
        <v>165</v>
      </c>
      <c r="C121" s="26"/>
      <c r="D121" s="39" t="s">
        <v>166</v>
      </c>
      <c r="E121" s="25" t="s">
        <v>140</v>
      </c>
      <c r="F121" s="25"/>
      <c r="G121" s="25"/>
      <c r="H121" s="38"/>
      <c r="I121" s="33" t="s">
        <v>188</v>
      </c>
      <c r="J121" s="29" t="s">
        <v>100</v>
      </c>
      <c r="K121" s="30">
        <f>7</f>
        <v>7</v>
      </c>
      <c r="L121" s="31">
        <f>0</f>
        <v>0</v>
      </c>
      <c r="M121" s="26">
        <f>0</f>
        <v>0</v>
      </c>
      <c r="N121" s="26">
        <f>0</f>
        <v>0</v>
      </c>
      <c r="O121" s="26"/>
      <c r="P121" s="26"/>
      <c r="Q121" s="26"/>
      <c r="R121" s="26"/>
      <c r="S121" s="32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</row>
    <row r="122" spans="1:72" ht="13" customHeight="1">
      <c r="A122" s="24" t="s">
        <v>25</v>
      </c>
      <c r="B122" s="24" t="s">
        <v>165</v>
      </c>
      <c r="C122" s="26"/>
      <c r="D122" s="39" t="s">
        <v>166</v>
      </c>
      <c r="E122" s="25" t="s">
        <v>142</v>
      </c>
      <c r="F122" s="25"/>
      <c r="G122" s="25"/>
      <c r="H122" s="38"/>
      <c r="I122" s="28" t="s">
        <v>185</v>
      </c>
      <c r="J122" s="29" t="s">
        <v>100</v>
      </c>
      <c r="K122" s="30">
        <f>4748</f>
        <v>4748</v>
      </c>
      <c r="L122" s="31">
        <f>16403</f>
        <v>16403</v>
      </c>
      <c r="M122" s="26">
        <v>22603</v>
      </c>
      <c r="N122" s="26">
        <v>22603</v>
      </c>
      <c r="O122" s="26"/>
      <c r="P122" s="26"/>
      <c r="Q122" s="26"/>
      <c r="R122" s="26"/>
      <c r="S122" s="32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</row>
    <row r="123" spans="1:72" ht="13" customHeight="1">
      <c r="A123" s="24" t="s">
        <v>25</v>
      </c>
      <c r="B123" s="24" t="s">
        <v>165</v>
      </c>
      <c r="C123" s="26"/>
      <c r="D123" s="39" t="s">
        <v>166</v>
      </c>
      <c r="E123" s="25" t="s">
        <v>142</v>
      </c>
      <c r="F123" s="25"/>
      <c r="G123" s="25"/>
      <c r="H123" s="38"/>
      <c r="I123" s="33" t="s">
        <v>118</v>
      </c>
      <c r="J123" s="29" t="s">
        <v>100</v>
      </c>
      <c r="K123" s="30">
        <f>4529</f>
        <v>4529</v>
      </c>
      <c r="L123" s="31">
        <f>9000</f>
        <v>9000</v>
      </c>
      <c r="M123" s="26">
        <f>20000</f>
        <v>20000</v>
      </c>
      <c r="N123" s="26">
        <f>20750</f>
        <v>20750</v>
      </c>
      <c r="O123" s="26"/>
      <c r="P123" s="26"/>
      <c r="Q123" s="26"/>
      <c r="R123" s="26"/>
      <c r="S123" s="32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</row>
    <row r="124" spans="1:72" ht="13" customHeight="1">
      <c r="A124" s="24" t="s">
        <v>25</v>
      </c>
      <c r="B124" s="24" t="s">
        <v>165</v>
      </c>
      <c r="C124" s="26"/>
      <c r="D124" s="39" t="s">
        <v>166</v>
      </c>
      <c r="E124" s="25" t="s">
        <v>142</v>
      </c>
      <c r="F124" s="25"/>
      <c r="G124" s="25"/>
      <c r="H124" s="38"/>
      <c r="I124" s="33" t="s">
        <v>186</v>
      </c>
      <c r="J124" s="29" t="s">
        <v>100</v>
      </c>
      <c r="K124" s="30">
        <f>2425</f>
        <v>2425</v>
      </c>
      <c r="L124" s="31">
        <f>3700</f>
        <v>3700</v>
      </c>
      <c r="M124" s="26">
        <f>6400</f>
        <v>6400</v>
      </c>
      <c r="N124" s="26">
        <f>6750</f>
        <v>6750</v>
      </c>
      <c r="O124" s="26"/>
      <c r="P124" s="26"/>
      <c r="Q124" s="26"/>
      <c r="R124" s="26"/>
      <c r="S124" s="32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</row>
    <row r="125" spans="1:72" ht="13" customHeight="1">
      <c r="A125" s="24" t="s">
        <v>25</v>
      </c>
      <c r="B125" s="24" t="s">
        <v>165</v>
      </c>
      <c r="C125" s="26"/>
      <c r="D125" s="39" t="s">
        <v>166</v>
      </c>
      <c r="E125" s="25" t="s">
        <v>142</v>
      </c>
      <c r="F125" s="25"/>
      <c r="G125" s="25"/>
      <c r="H125" s="38"/>
      <c r="I125" s="33" t="s">
        <v>187</v>
      </c>
      <c r="J125" s="29" t="s">
        <v>100</v>
      </c>
      <c r="K125" s="30">
        <f>2111</f>
        <v>2111</v>
      </c>
      <c r="L125" s="31">
        <f>5300</f>
        <v>5300</v>
      </c>
      <c r="M125" s="26">
        <f>13600</f>
        <v>13600</v>
      </c>
      <c r="N125" s="26">
        <f>14000</f>
        <v>14000</v>
      </c>
      <c r="O125" s="26"/>
      <c r="P125" s="26"/>
      <c r="Q125" s="26"/>
      <c r="R125" s="26"/>
      <c r="S125" s="32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</row>
    <row r="126" spans="1:72" ht="13" customHeight="1">
      <c r="A126" s="24" t="s">
        <v>25</v>
      </c>
      <c r="B126" s="24" t="s">
        <v>165</v>
      </c>
      <c r="C126" s="26"/>
      <c r="D126" s="39" t="s">
        <v>166</v>
      </c>
      <c r="E126" s="25" t="s">
        <v>142</v>
      </c>
      <c r="F126" s="25"/>
      <c r="G126" s="25"/>
      <c r="H126" s="38"/>
      <c r="I126" s="33" t="s">
        <v>188</v>
      </c>
      <c r="J126" s="29" t="s">
        <v>100</v>
      </c>
      <c r="K126" s="30">
        <f>7</f>
        <v>7</v>
      </c>
      <c r="L126" s="31">
        <f>0</f>
        <v>0</v>
      </c>
      <c r="M126" s="26">
        <f>0</f>
        <v>0</v>
      </c>
      <c r="N126" s="26">
        <f>0</f>
        <v>0</v>
      </c>
      <c r="O126" s="26"/>
      <c r="P126" s="26"/>
      <c r="Q126" s="26"/>
      <c r="R126" s="26"/>
      <c r="S126" s="32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</row>
    <row r="127" spans="1:72" ht="13" customHeight="1">
      <c r="A127" s="24" t="s">
        <v>25</v>
      </c>
      <c r="B127" s="24" t="s">
        <v>165</v>
      </c>
      <c r="C127" s="26"/>
      <c r="D127" s="39" t="s">
        <v>166</v>
      </c>
      <c r="E127" s="25" t="s">
        <v>140</v>
      </c>
      <c r="F127" s="25"/>
      <c r="G127" s="25"/>
      <c r="H127" s="38"/>
      <c r="I127" s="48" t="s">
        <v>189</v>
      </c>
      <c r="J127" s="29" t="s">
        <v>100</v>
      </c>
      <c r="K127" s="30">
        <f>26134</f>
        <v>26134</v>
      </c>
      <c r="L127" s="31">
        <f>33375</f>
        <v>33375</v>
      </c>
      <c r="M127" s="26">
        <f>40162</f>
        <v>40162</v>
      </c>
      <c r="N127" s="26">
        <f>40162</f>
        <v>40162</v>
      </c>
      <c r="O127" s="26"/>
      <c r="P127" s="26"/>
      <c r="Q127" s="26"/>
      <c r="R127" s="26"/>
      <c r="S127" s="32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</row>
    <row r="128" spans="1:72" ht="13" customHeight="1">
      <c r="A128" s="24" t="s">
        <v>25</v>
      </c>
      <c r="B128" s="24" t="s">
        <v>165</v>
      </c>
      <c r="C128" s="26"/>
      <c r="D128" s="39" t="s">
        <v>166</v>
      </c>
      <c r="E128" s="25" t="s">
        <v>140</v>
      </c>
      <c r="F128" s="25"/>
      <c r="G128" s="25"/>
      <c r="H128" s="38"/>
      <c r="I128" s="28" t="s">
        <v>190</v>
      </c>
      <c r="J128" s="29" t="s">
        <v>100</v>
      </c>
      <c r="K128" s="30">
        <f>23703</f>
        <v>23703</v>
      </c>
      <c r="L128" s="31">
        <f>27950</f>
        <v>27950</v>
      </c>
      <c r="M128" s="26">
        <f>33100</f>
        <v>33100</v>
      </c>
      <c r="N128" s="26">
        <f>35000</f>
        <v>35000</v>
      </c>
      <c r="O128" s="26"/>
      <c r="P128" s="26"/>
      <c r="Q128" s="26"/>
      <c r="R128" s="26"/>
      <c r="S128" s="32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</row>
    <row r="129" spans="1:72" ht="13" customHeight="1">
      <c r="A129" s="24" t="s">
        <v>25</v>
      </c>
      <c r="B129" s="24" t="s">
        <v>165</v>
      </c>
      <c r="C129" s="26"/>
      <c r="D129" s="39" t="s">
        <v>166</v>
      </c>
      <c r="E129" s="25" t="s">
        <v>140</v>
      </c>
      <c r="F129" s="25"/>
      <c r="G129" s="25"/>
      <c r="H129" s="38"/>
      <c r="I129" s="28" t="s">
        <v>191</v>
      </c>
      <c r="J129" s="29" t="s">
        <v>100</v>
      </c>
      <c r="K129" s="30">
        <f>6510</f>
        <v>6510</v>
      </c>
      <c r="L129" s="31">
        <f>8415</f>
        <v>8415</v>
      </c>
      <c r="M129" s="26">
        <f>8925</f>
        <v>8925</v>
      </c>
      <c r="N129" s="26">
        <f>9290</f>
        <v>9290</v>
      </c>
      <c r="O129" s="26"/>
      <c r="P129" s="26"/>
      <c r="Q129" s="26"/>
      <c r="R129" s="26"/>
      <c r="S129" s="32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</row>
    <row r="130" spans="1:72" ht="13" customHeight="1">
      <c r="A130" s="24" t="s">
        <v>25</v>
      </c>
      <c r="B130" s="24" t="s">
        <v>165</v>
      </c>
      <c r="C130" s="26"/>
      <c r="D130" s="39" t="s">
        <v>166</v>
      </c>
      <c r="E130" s="25" t="s">
        <v>140</v>
      </c>
      <c r="F130" s="25"/>
      <c r="G130" s="25"/>
      <c r="H130" s="38"/>
      <c r="I130" s="28" t="s">
        <v>192</v>
      </c>
      <c r="J130" s="29" t="s">
        <v>100</v>
      </c>
      <c r="K130" s="30">
        <f>17357</f>
        <v>17357</v>
      </c>
      <c r="L130" s="31">
        <f>19625</f>
        <v>19625</v>
      </c>
      <c r="M130" s="26">
        <f>24210</f>
        <v>24210</v>
      </c>
      <c r="N130" s="26">
        <f>25710</f>
        <v>25710</v>
      </c>
      <c r="O130" s="26"/>
      <c r="P130" s="26"/>
      <c r="Q130" s="26"/>
      <c r="R130" s="26"/>
      <c r="S130" s="32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</row>
    <row r="131" spans="1:72" ht="13" customHeight="1">
      <c r="A131" s="24" t="s">
        <v>25</v>
      </c>
      <c r="B131" s="24" t="s">
        <v>165</v>
      </c>
      <c r="C131" s="26"/>
      <c r="D131" s="39" t="s">
        <v>166</v>
      </c>
      <c r="E131" s="25" t="s">
        <v>140</v>
      </c>
      <c r="F131" s="25"/>
      <c r="G131" s="25"/>
      <c r="H131" s="38"/>
      <c r="I131" s="28" t="s">
        <v>193</v>
      </c>
      <c r="J131" s="29" t="s">
        <v>100</v>
      </c>
      <c r="K131" s="30">
        <f>164</f>
        <v>164</v>
      </c>
      <c r="L131" s="31">
        <f>90</f>
        <v>90</v>
      </c>
      <c r="M131" s="26">
        <f>35</f>
        <v>35</v>
      </c>
      <c r="N131" s="26">
        <f>15</f>
        <v>15</v>
      </c>
      <c r="O131" s="26"/>
      <c r="P131" s="26"/>
      <c r="Q131" s="26"/>
      <c r="R131" s="26"/>
      <c r="S131" s="32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</row>
    <row r="132" spans="1:72" ht="13" customHeight="1">
      <c r="A132" s="24" t="s">
        <v>25</v>
      </c>
      <c r="B132" s="24" t="s">
        <v>165</v>
      </c>
      <c r="C132" s="26"/>
      <c r="D132" s="39" t="s">
        <v>166</v>
      </c>
      <c r="E132" s="25" t="s">
        <v>142</v>
      </c>
      <c r="F132" s="25"/>
      <c r="G132" s="25"/>
      <c r="H132" s="38"/>
      <c r="I132" s="49" t="s">
        <v>189</v>
      </c>
      <c r="J132" s="29" t="s">
        <v>100</v>
      </c>
      <c r="K132" s="30">
        <f>26134</f>
        <v>26134</v>
      </c>
      <c r="L132" s="31">
        <f>35133</f>
        <v>35133</v>
      </c>
      <c r="M132" s="26">
        <f>42678</f>
        <v>42678</v>
      </c>
      <c r="N132" s="26">
        <f>43050</f>
        <v>43050</v>
      </c>
      <c r="O132" s="26"/>
      <c r="P132" s="26"/>
      <c r="Q132" s="26"/>
      <c r="R132" s="26"/>
      <c r="S132" s="32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</row>
    <row r="133" spans="1:72" ht="13" customHeight="1">
      <c r="A133" s="24" t="s">
        <v>25</v>
      </c>
      <c r="B133" s="24" t="s">
        <v>165</v>
      </c>
      <c r="C133" s="26"/>
      <c r="D133" s="39" t="s">
        <v>166</v>
      </c>
      <c r="E133" s="25" t="s">
        <v>142</v>
      </c>
      <c r="F133" s="25"/>
      <c r="G133" s="25"/>
      <c r="H133" s="38"/>
      <c r="I133" s="50" t="s">
        <v>190</v>
      </c>
      <c r="J133" s="29" t="s">
        <v>100</v>
      </c>
      <c r="K133" s="30">
        <f>23703</f>
        <v>23703</v>
      </c>
      <c r="L133" s="31">
        <f>29275</f>
        <v>29275</v>
      </c>
      <c r="M133" s="26">
        <f>37475</f>
        <v>37475</v>
      </c>
      <c r="N133" s="26">
        <f>40120</f>
        <v>40120</v>
      </c>
      <c r="O133" s="26"/>
      <c r="P133" s="26"/>
      <c r="Q133" s="26"/>
      <c r="R133" s="26"/>
      <c r="S133" s="32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</row>
    <row r="134" spans="1:72" ht="13" customHeight="1">
      <c r="A134" s="24" t="s">
        <v>25</v>
      </c>
      <c r="B134" s="24" t="s">
        <v>165</v>
      </c>
      <c r="C134" s="26"/>
      <c r="D134" s="39" t="s">
        <v>166</v>
      </c>
      <c r="E134" s="25" t="s">
        <v>142</v>
      </c>
      <c r="F134" s="25"/>
      <c r="G134" s="25"/>
      <c r="H134" s="38"/>
      <c r="I134" s="50" t="s">
        <v>191</v>
      </c>
      <c r="J134" s="29" t="s">
        <v>100</v>
      </c>
      <c r="K134" s="30">
        <f>6510</f>
        <v>6510</v>
      </c>
      <c r="L134" s="31">
        <f>4577</f>
        <v>4577</v>
      </c>
      <c r="M134" s="26">
        <f>5455</f>
        <v>5455</v>
      </c>
      <c r="N134" s="26">
        <f>5640</f>
        <v>5640</v>
      </c>
      <c r="O134" s="26"/>
      <c r="P134" s="26"/>
      <c r="Q134" s="26"/>
      <c r="R134" s="26"/>
      <c r="S134" s="32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</row>
    <row r="135" spans="1:72" ht="13" customHeight="1">
      <c r="A135" s="24" t="s">
        <v>25</v>
      </c>
      <c r="B135" s="24" t="s">
        <v>165</v>
      </c>
      <c r="C135" s="26"/>
      <c r="D135" s="39" t="s">
        <v>166</v>
      </c>
      <c r="E135" s="25" t="s">
        <v>142</v>
      </c>
      <c r="F135" s="25"/>
      <c r="G135" s="25"/>
      <c r="H135" s="38"/>
      <c r="I135" s="50" t="s">
        <v>192</v>
      </c>
      <c r="J135" s="29" t="s">
        <v>100</v>
      </c>
      <c r="K135" s="30">
        <f>17357</f>
        <v>17357</v>
      </c>
      <c r="L135" s="31">
        <f>8650</f>
        <v>8650</v>
      </c>
      <c r="M135" s="26">
        <f>11800</f>
        <v>11800</v>
      </c>
      <c r="N135" s="26">
        <f>12200</f>
        <v>12200</v>
      </c>
      <c r="O135" s="26"/>
      <c r="P135" s="26"/>
      <c r="Q135" s="26"/>
      <c r="R135" s="26"/>
      <c r="S135" s="32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</row>
    <row r="136" spans="1:72" ht="13" customHeight="1">
      <c r="A136" s="24" t="s">
        <v>25</v>
      </c>
      <c r="B136" s="24" t="s">
        <v>165</v>
      </c>
      <c r="C136" s="26"/>
      <c r="D136" s="39" t="s">
        <v>166</v>
      </c>
      <c r="E136" s="25" t="s">
        <v>142</v>
      </c>
      <c r="F136" s="25"/>
      <c r="G136" s="25"/>
      <c r="H136" s="38"/>
      <c r="I136" s="50" t="s">
        <v>193</v>
      </c>
      <c r="J136" s="29" t="s">
        <v>100</v>
      </c>
      <c r="K136" s="30">
        <f>164</f>
        <v>164</v>
      </c>
      <c r="L136" s="31">
        <f>27</f>
        <v>27</v>
      </c>
      <c r="M136" s="26">
        <f>5</f>
        <v>5</v>
      </c>
      <c r="N136" s="26">
        <f>0</f>
        <v>0</v>
      </c>
      <c r="O136" s="26"/>
      <c r="P136" s="26"/>
      <c r="Q136" s="26"/>
      <c r="R136" s="26"/>
      <c r="S136" s="32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</row>
    <row r="137" spans="1:72" ht="13" customHeight="1">
      <c r="A137" s="24" t="s">
        <v>25</v>
      </c>
      <c r="B137" s="24" t="s">
        <v>165</v>
      </c>
      <c r="C137" s="26"/>
      <c r="D137" s="39" t="s">
        <v>166</v>
      </c>
      <c r="E137" s="25" t="s">
        <v>140</v>
      </c>
      <c r="F137" s="25"/>
      <c r="G137" s="25"/>
      <c r="H137" s="38"/>
      <c r="I137" s="51" t="s">
        <v>194</v>
      </c>
      <c r="J137" s="29" t="s">
        <v>100</v>
      </c>
      <c r="K137" s="30">
        <f>11345</f>
        <v>11345</v>
      </c>
      <c r="L137" s="31">
        <f>14095</f>
        <v>14095</v>
      </c>
      <c r="M137" s="26">
        <f>16460</f>
        <v>16460</v>
      </c>
      <c r="N137" s="26">
        <f>16460</f>
        <v>16460</v>
      </c>
      <c r="O137" s="26"/>
      <c r="P137" s="26"/>
      <c r="Q137" s="26"/>
      <c r="R137" s="26"/>
      <c r="S137" s="32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</row>
    <row r="138" spans="1:72" ht="13" customHeight="1">
      <c r="A138" s="24" t="s">
        <v>25</v>
      </c>
      <c r="B138" s="24" t="s">
        <v>165</v>
      </c>
      <c r="C138" s="26"/>
      <c r="D138" s="39" t="s">
        <v>166</v>
      </c>
      <c r="E138" s="25" t="s">
        <v>140</v>
      </c>
      <c r="F138" s="25"/>
      <c r="G138" s="25"/>
      <c r="H138" s="38"/>
      <c r="I138" s="52" t="s">
        <v>195</v>
      </c>
      <c r="J138" s="29" t="s">
        <v>100</v>
      </c>
      <c r="K138" s="30">
        <f>10913</f>
        <v>10913</v>
      </c>
      <c r="L138" s="31">
        <f>12130</f>
        <v>12130</v>
      </c>
      <c r="M138" s="26">
        <f>13700</f>
        <v>13700</v>
      </c>
      <c r="N138" s="26">
        <f>14250</f>
        <v>14250</v>
      </c>
      <c r="O138" s="26"/>
      <c r="P138" s="26"/>
      <c r="Q138" s="26"/>
      <c r="R138" s="26"/>
      <c r="S138" s="32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</row>
    <row r="139" spans="1:72" ht="13" customHeight="1">
      <c r="A139" s="24" t="s">
        <v>25</v>
      </c>
      <c r="B139" s="24" t="s">
        <v>165</v>
      </c>
      <c r="C139" s="26"/>
      <c r="D139" s="39" t="s">
        <v>166</v>
      </c>
      <c r="E139" s="25" t="s">
        <v>140</v>
      </c>
      <c r="F139" s="25"/>
      <c r="G139" s="25"/>
      <c r="H139" s="38"/>
      <c r="I139" s="52" t="s">
        <v>196</v>
      </c>
      <c r="J139" s="29" t="s">
        <v>100</v>
      </c>
      <c r="K139" s="30">
        <f>3413</f>
        <v>3413</v>
      </c>
      <c r="L139" s="31">
        <f>4348</f>
        <v>4348</v>
      </c>
      <c r="M139" s="26">
        <f>4630</f>
        <v>4630</v>
      </c>
      <c r="N139" s="26">
        <f>4750</f>
        <v>4750</v>
      </c>
      <c r="O139" s="26"/>
      <c r="P139" s="26"/>
      <c r="Q139" s="26"/>
      <c r="R139" s="26"/>
      <c r="S139" s="32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</row>
    <row r="140" spans="1:72" ht="13" customHeight="1">
      <c r="A140" s="24" t="s">
        <v>25</v>
      </c>
      <c r="B140" s="24" t="s">
        <v>165</v>
      </c>
      <c r="C140" s="26"/>
      <c r="D140" s="39" t="s">
        <v>166</v>
      </c>
      <c r="E140" s="25" t="s">
        <v>140</v>
      </c>
      <c r="F140" s="25"/>
      <c r="G140" s="25"/>
      <c r="H140" s="38"/>
      <c r="I140" s="52" t="s">
        <v>197</v>
      </c>
      <c r="J140" s="29" t="s">
        <v>100</v>
      </c>
      <c r="K140" s="30">
        <f>7533</f>
        <v>7533</v>
      </c>
      <c r="L140" s="31">
        <f>7810</f>
        <v>7810</v>
      </c>
      <c r="M140" s="26">
        <f>9080</f>
        <v>9080</v>
      </c>
      <c r="N140" s="26">
        <f>9500</f>
        <v>9500</v>
      </c>
      <c r="O140" s="26"/>
      <c r="P140" s="26"/>
      <c r="Q140" s="26"/>
      <c r="R140" s="26"/>
      <c r="S140" s="32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</row>
    <row r="141" spans="1:72" ht="13" customHeight="1">
      <c r="A141" s="24" t="s">
        <v>25</v>
      </c>
      <c r="B141" s="24" t="s">
        <v>165</v>
      </c>
      <c r="C141" s="26"/>
      <c r="D141" s="39" t="s">
        <v>166</v>
      </c>
      <c r="E141" s="25" t="s">
        <v>140</v>
      </c>
      <c r="F141" s="25"/>
      <c r="G141" s="25"/>
      <c r="H141" s="38"/>
      <c r="I141" s="52" t="s">
        <v>198</v>
      </c>
      <c r="J141" s="29" t="s">
        <v>100</v>
      </c>
      <c r="K141" s="30">
        <f>33</f>
        <v>33</v>
      </c>
      <c r="L141" s="31">
        <f>28</f>
        <v>28</v>
      </c>
      <c r="M141" s="26">
        <f>10</f>
        <v>10</v>
      </c>
      <c r="N141" s="26">
        <f>10</f>
        <v>10</v>
      </c>
      <c r="O141" s="26"/>
      <c r="P141" s="26"/>
      <c r="Q141" s="26"/>
      <c r="R141" s="26"/>
      <c r="S141" s="32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</row>
    <row r="142" spans="1:72" ht="13" customHeight="1">
      <c r="A142" s="24" t="s">
        <v>25</v>
      </c>
      <c r="B142" s="24" t="s">
        <v>165</v>
      </c>
      <c r="C142" s="26"/>
      <c r="D142" s="39" t="s">
        <v>166</v>
      </c>
      <c r="E142" s="25" t="s">
        <v>142</v>
      </c>
      <c r="F142" s="25"/>
      <c r="G142" s="25"/>
      <c r="H142" s="38"/>
      <c r="I142" s="51" t="s">
        <v>194</v>
      </c>
      <c r="J142" s="29" t="s">
        <v>100</v>
      </c>
      <c r="K142" s="30">
        <f>11345</f>
        <v>11345</v>
      </c>
      <c r="L142" s="31">
        <f>15832</f>
        <v>15832</v>
      </c>
      <c r="M142" s="26">
        <f>18976</f>
        <v>18976</v>
      </c>
      <c r="N142" s="26">
        <f>18976</f>
        <v>18976</v>
      </c>
      <c r="O142" s="26"/>
      <c r="P142" s="26"/>
      <c r="Q142" s="26"/>
      <c r="R142" s="26"/>
      <c r="S142" s="32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</row>
    <row r="143" spans="1:72" ht="13" customHeight="1">
      <c r="A143" s="24" t="s">
        <v>25</v>
      </c>
      <c r="B143" s="24" t="s">
        <v>165</v>
      </c>
      <c r="C143" s="26"/>
      <c r="D143" s="39" t="s">
        <v>166</v>
      </c>
      <c r="E143" s="25" t="s">
        <v>142</v>
      </c>
      <c r="F143" s="25"/>
      <c r="G143" s="25"/>
      <c r="H143" s="38"/>
      <c r="I143" s="52" t="s">
        <v>195</v>
      </c>
      <c r="J143" s="29" t="s">
        <v>100</v>
      </c>
      <c r="K143" s="30">
        <f>10913</f>
        <v>10913</v>
      </c>
      <c r="L143" s="31">
        <f>13200</f>
        <v>13200</v>
      </c>
      <c r="M143" s="26">
        <f>17250</f>
        <v>17250</v>
      </c>
      <c r="N143" s="26">
        <f>17840</f>
        <v>17840</v>
      </c>
      <c r="O143" s="26"/>
      <c r="P143" s="26"/>
      <c r="Q143" s="26"/>
      <c r="R143" s="26"/>
      <c r="S143" s="32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</row>
    <row r="144" spans="1:72" ht="13" customHeight="1">
      <c r="A144" s="24" t="s">
        <v>25</v>
      </c>
      <c r="B144" s="24" t="s">
        <v>165</v>
      </c>
      <c r="C144" s="26"/>
      <c r="D144" s="39" t="s">
        <v>166</v>
      </c>
      <c r="E144" s="25" t="s">
        <v>142</v>
      </c>
      <c r="F144" s="25"/>
      <c r="G144" s="25"/>
      <c r="H144" s="38"/>
      <c r="I144" s="52" t="s">
        <v>196</v>
      </c>
      <c r="J144" s="29" t="s">
        <v>100</v>
      </c>
      <c r="K144" s="30">
        <f>3413</f>
        <v>3413</v>
      </c>
      <c r="L144" s="31">
        <f>4577</f>
        <v>4577</v>
      </c>
      <c r="M144" s="26">
        <f>5455</f>
        <v>5455</v>
      </c>
      <c r="N144" s="26">
        <f>5640</f>
        <v>5640</v>
      </c>
      <c r="O144" s="26"/>
      <c r="P144" s="26"/>
      <c r="Q144" s="26"/>
      <c r="R144" s="26"/>
      <c r="S144" s="32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</row>
    <row r="145" spans="1:72" ht="13" customHeight="1">
      <c r="A145" s="24" t="s">
        <v>25</v>
      </c>
      <c r="B145" s="24" t="s">
        <v>165</v>
      </c>
      <c r="C145" s="26"/>
      <c r="D145" s="39" t="s">
        <v>166</v>
      </c>
      <c r="E145" s="25" t="s">
        <v>142</v>
      </c>
      <c r="F145" s="25"/>
      <c r="G145" s="25"/>
      <c r="H145" s="38"/>
      <c r="I145" s="52" t="s">
        <v>197</v>
      </c>
      <c r="J145" s="29" t="s">
        <v>100</v>
      </c>
      <c r="K145" s="30">
        <f>7533</f>
        <v>7533</v>
      </c>
      <c r="L145" s="31">
        <f>8650</f>
        <v>8650</v>
      </c>
      <c r="M145" s="26">
        <f>11800</f>
        <v>11800</v>
      </c>
      <c r="N145" s="26">
        <f>12200</f>
        <v>12200</v>
      </c>
      <c r="O145" s="26"/>
      <c r="P145" s="26"/>
      <c r="Q145" s="26"/>
      <c r="R145" s="26"/>
      <c r="S145" s="32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</row>
    <row r="146" spans="1:72" ht="13" customHeight="1">
      <c r="A146" s="24" t="s">
        <v>25</v>
      </c>
      <c r="B146" s="24" t="s">
        <v>165</v>
      </c>
      <c r="C146" s="26"/>
      <c r="D146" s="39" t="s">
        <v>166</v>
      </c>
      <c r="E146" s="25" t="s">
        <v>142</v>
      </c>
      <c r="F146" s="25"/>
      <c r="G146" s="25"/>
      <c r="H146" s="38"/>
      <c r="I146" s="52" t="s">
        <v>198</v>
      </c>
      <c r="J146" s="29" t="s">
        <v>100</v>
      </c>
      <c r="K146" s="30">
        <f>33</f>
        <v>33</v>
      </c>
      <c r="L146" s="31">
        <f>27</f>
        <v>27</v>
      </c>
      <c r="M146" s="26">
        <f>5</f>
        <v>5</v>
      </c>
      <c r="N146" s="26">
        <f>0</f>
        <v>0</v>
      </c>
      <c r="O146" s="26"/>
      <c r="P146" s="26"/>
      <c r="Q146" s="26"/>
      <c r="R146" s="26"/>
      <c r="S146" s="32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</row>
    <row r="147" spans="1:72" ht="13" customHeight="1">
      <c r="A147" s="24" t="s">
        <v>25</v>
      </c>
      <c r="B147" s="24" t="s">
        <v>165</v>
      </c>
      <c r="C147" s="26"/>
      <c r="D147" s="39" t="s">
        <v>166</v>
      </c>
      <c r="E147" s="25" t="s">
        <v>140</v>
      </c>
      <c r="F147" s="25"/>
      <c r="G147" s="25"/>
      <c r="H147" s="38"/>
      <c r="I147" s="51" t="s">
        <v>199</v>
      </c>
      <c r="J147" s="29" t="s">
        <v>100</v>
      </c>
      <c r="K147" s="30">
        <f>4814</f>
        <v>4814</v>
      </c>
      <c r="L147" s="31">
        <f>5147</f>
        <v>5147</v>
      </c>
      <c r="M147" s="26">
        <f>5168</f>
        <v>5168</v>
      </c>
      <c r="N147" s="26">
        <f>5168</f>
        <v>5168</v>
      </c>
      <c r="O147" s="26"/>
      <c r="P147" s="26"/>
      <c r="Q147" s="26"/>
      <c r="R147" s="26"/>
      <c r="S147" s="32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</row>
    <row r="148" spans="1:72" ht="13" customHeight="1">
      <c r="A148" s="24" t="s">
        <v>25</v>
      </c>
      <c r="B148" s="24" t="s">
        <v>165</v>
      </c>
      <c r="C148" s="26"/>
      <c r="D148" s="39" t="s">
        <v>166</v>
      </c>
      <c r="E148" s="25" t="s">
        <v>140</v>
      </c>
      <c r="F148" s="25"/>
      <c r="G148" s="25"/>
      <c r="H148" s="38"/>
      <c r="I148" s="52" t="s">
        <v>200</v>
      </c>
      <c r="J148" s="29" t="s">
        <v>100</v>
      </c>
      <c r="K148" s="30">
        <f>4115</f>
        <v>4115</v>
      </c>
      <c r="L148" s="31">
        <f>4460</f>
        <v>4460</v>
      </c>
      <c r="M148" s="26">
        <f>4600</f>
        <v>4600</v>
      </c>
      <c r="N148" s="26">
        <f>4750</f>
        <v>4750</v>
      </c>
      <c r="O148" s="26"/>
      <c r="P148" s="26"/>
      <c r="Q148" s="26"/>
      <c r="R148" s="26"/>
      <c r="S148" s="32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</row>
    <row r="149" spans="1:72" ht="13" customHeight="1">
      <c r="A149" s="24" t="s">
        <v>25</v>
      </c>
      <c r="B149" s="24" t="s">
        <v>165</v>
      </c>
      <c r="C149" s="26"/>
      <c r="D149" s="39" t="s">
        <v>166</v>
      </c>
      <c r="E149" s="25" t="s">
        <v>140</v>
      </c>
      <c r="F149" s="25"/>
      <c r="G149" s="25"/>
      <c r="H149" s="38"/>
      <c r="I149" s="52" t="s">
        <v>201</v>
      </c>
      <c r="J149" s="29" t="s">
        <v>100</v>
      </c>
      <c r="K149" s="30">
        <f>990</f>
        <v>990</v>
      </c>
      <c r="L149" s="31">
        <f>1062</f>
        <v>1062</v>
      </c>
      <c r="M149" s="26">
        <f>1080</f>
        <v>1080</v>
      </c>
      <c r="N149" s="26">
        <f>1090</f>
        <v>1090</v>
      </c>
      <c r="O149" s="26"/>
      <c r="P149" s="26"/>
      <c r="Q149" s="26"/>
      <c r="R149" s="26"/>
      <c r="S149" s="32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</row>
    <row r="150" spans="1:72" ht="13" customHeight="1">
      <c r="A150" s="24" t="s">
        <v>25</v>
      </c>
      <c r="B150" s="24" t="s">
        <v>165</v>
      </c>
      <c r="C150" s="26"/>
      <c r="D150" s="39" t="s">
        <v>166</v>
      </c>
      <c r="E150" s="25" t="s">
        <v>140</v>
      </c>
      <c r="F150" s="25"/>
      <c r="G150" s="25"/>
      <c r="H150" s="38"/>
      <c r="I150" s="52" t="s">
        <v>202</v>
      </c>
      <c r="J150" s="29" t="s">
        <v>100</v>
      </c>
      <c r="K150" s="30">
        <f>3145</f>
        <v>3145</v>
      </c>
      <c r="L150" s="31">
        <f>3415</f>
        <v>3415</v>
      </c>
      <c r="M150" s="26">
        <f>3530</f>
        <v>3530</v>
      </c>
      <c r="N150" s="26">
        <f>3660</f>
        <v>3660</v>
      </c>
      <c r="O150" s="26"/>
      <c r="P150" s="26"/>
      <c r="Q150" s="26"/>
      <c r="R150" s="26"/>
      <c r="S150" s="32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</row>
    <row r="151" spans="1:72" ht="13" customHeight="1">
      <c r="A151" s="24" t="s">
        <v>25</v>
      </c>
      <c r="B151" s="24" t="s">
        <v>165</v>
      </c>
      <c r="C151" s="26"/>
      <c r="D151" s="39" t="s">
        <v>166</v>
      </c>
      <c r="E151" s="25" t="s">
        <v>140</v>
      </c>
      <c r="F151" s="25"/>
      <c r="G151" s="25"/>
      <c r="H151" s="38"/>
      <c r="I151" s="52" t="s">
        <v>203</v>
      </c>
      <c r="J151" s="29" t="s">
        <v>100</v>
      </c>
      <c r="K151" s="30">
        <f>20</f>
        <v>20</v>
      </c>
      <c r="L151" s="31">
        <f>17</f>
        <v>17</v>
      </c>
      <c r="M151" s="26">
        <f>10</f>
        <v>10</v>
      </c>
      <c r="N151" s="26">
        <f>0</f>
        <v>0</v>
      </c>
      <c r="O151" s="26"/>
      <c r="P151" s="26"/>
      <c r="Q151" s="26"/>
      <c r="R151" s="26"/>
      <c r="S151" s="32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</row>
    <row r="152" spans="1:72" ht="13" customHeight="1">
      <c r="A152" s="24" t="s">
        <v>25</v>
      </c>
      <c r="B152" s="24" t="s">
        <v>165</v>
      </c>
      <c r="C152" s="26"/>
      <c r="D152" s="39" t="s">
        <v>166</v>
      </c>
      <c r="E152" s="25" t="s">
        <v>142</v>
      </c>
      <c r="F152" s="25"/>
      <c r="G152" s="25"/>
      <c r="H152" s="38"/>
      <c r="I152" s="51" t="s">
        <v>199</v>
      </c>
      <c r="J152" s="29" t="s">
        <v>100</v>
      </c>
      <c r="K152" s="30">
        <f>4814</f>
        <v>4814</v>
      </c>
      <c r="L152" s="31">
        <f>5168</f>
        <v>5168</v>
      </c>
      <c r="M152" s="26">
        <f>5168</f>
        <v>5168</v>
      </c>
      <c r="N152" s="26">
        <f>5168</f>
        <v>5168</v>
      </c>
      <c r="O152" s="26"/>
      <c r="P152" s="26"/>
      <c r="Q152" s="26"/>
      <c r="R152" s="26"/>
      <c r="S152" s="32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</row>
    <row r="153" spans="1:72" ht="13" customHeight="1">
      <c r="A153" s="24" t="s">
        <v>25</v>
      </c>
      <c r="B153" s="24" t="s">
        <v>165</v>
      </c>
      <c r="C153" s="26"/>
      <c r="D153" s="39" t="s">
        <v>166</v>
      </c>
      <c r="E153" s="25" t="s">
        <v>142</v>
      </c>
      <c r="F153" s="25"/>
      <c r="G153" s="25"/>
      <c r="H153" s="38"/>
      <c r="I153" s="52" t="s">
        <v>200</v>
      </c>
      <c r="J153" s="29" t="s">
        <v>100</v>
      </c>
      <c r="K153" s="30">
        <f>4115</f>
        <v>4115</v>
      </c>
      <c r="L153" s="31">
        <f>4620</f>
        <v>4620</v>
      </c>
      <c r="M153" s="26">
        <f>5055</f>
        <v>5055</v>
      </c>
      <c r="N153" s="26">
        <f>5230</f>
        <v>5230</v>
      </c>
      <c r="O153" s="26"/>
      <c r="P153" s="26"/>
      <c r="Q153" s="26"/>
      <c r="R153" s="26"/>
      <c r="S153" s="32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</row>
    <row r="154" spans="1:72" ht="13" customHeight="1">
      <c r="A154" s="24" t="s">
        <v>25</v>
      </c>
      <c r="B154" s="24" t="s">
        <v>165</v>
      </c>
      <c r="C154" s="26"/>
      <c r="D154" s="39" t="s">
        <v>166</v>
      </c>
      <c r="E154" s="25" t="s">
        <v>142</v>
      </c>
      <c r="F154" s="25"/>
      <c r="G154" s="25"/>
      <c r="H154" s="38"/>
      <c r="I154" s="52" t="s">
        <v>201</v>
      </c>
      <c r="J154" s="29" t="s">
        <v>100</v>
      </c>
      <c r="K154" s="30">
        <f>990</f>
        <v>990</v>
      </c>
      <c r="L154" s="31">
        <f>1106</f>
        <v>1106</v>
      </c>
      <c r="M154" s="26">
        <f>1183</f>
        <v>1183</v>
      </c>
      <c r="N154" s="26">
        <f>1240</f>
        <v>1240</v>
      </c>
      <c r="O154" s="26"/>
      <c r="P154" s="26"/>
      <c r="Q154" s="26"/>
      <c r="R154" s="26"/>
      <c r="S154" s="32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</row>
    <row r="155" spans="1:72" ht="13" customHeight="1">
      <c r="A155" s="24" t="s">
        <v>25</v>
      </c>
      <c r="B155" s="24" t="s">
        <v>165</v>
      </c>
      <c r="C155" s="26"/>
      <c r="D155" s="39" t="s">
        <v>166</v>
      </c>
      <c r="E155" s="25" t="s">
        <v>142</v>
      </c>
      <c r="F155" s="25"/>
      <c r="G155" s="25"/>
      <c r="H155" s="38"/>
      <c r="I155" s="52" t="s">
        <v>202</v>
      </c>
      <c r="J155" s="29" t="s">
        <v>100</v>
      </c>
      <c r="K155" s="30">
        <f>3145</f>
        <v>3145</v>
      </c>
      <c r="L155" s="31">
        <f>3530</f>
        <v>3530</v>
      </c>
      <c r="M155" s="26">
        <f>3880</f>
        <v>3880</v>
      </c>
      <c r="N155" s="26">
        <f>3990</f>
        <v>3990</v>
      </c>
      <c r="O155" s="26"/>
      <c r="P155" s="26"/>
      <c r="Q155" s="26"/>
      <c r="R155" s="26"/>
      <c r="S155" s="32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</row>
    <row r="156" spans="1:72" ht="13" customHeight="1">
      <c r="A156" s="24" t="s">
        <v>25</v>
      </c>
      <c r="B156" s="24" t="s">
        <v>165</v>
      </c>
      <c r="C156" s="26"/>
      <c r="D156" s="39" t="s">
        <v>166</v>
      </c>
      <c r="E156" s="25" t="s">
        <v>142</v>
      </c>
      <c r="F156" s="25"/>
      <c r="G156" s="25"/>
      <c r="H156" s="38"/>
      <c r="I156" s="52" t="s">
        <v>203</v>
      </c>
      <c r="J156" s="29" t="s">
        <v>100</v>
      </c>
      <c r="K156" s="30">
        <f>20</f>
        <v>20</v>
      </c>
      <c r="L156" s="31">
        <f>16</f>
        <v>16</v>
      </c>
      <c r="M156" s="26">
        <f>8</f>
        <v>8</v>
      </c>
      <c r="N156" s="26">
        <f>0</f>
        <v>0</v>
      </c>
      <c r="O156" s="26"/>
      <c r="P156" s="26"/>
      <c r="Q156" s="26"/>
      <c r="R156" s="26"/>
      <c r="S156" s="32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</row>
    <row r="157" spans="1:72" ht="13" customHeight="1">
      <c r="A157" s="24" t="s">
        <v>25</v>
      </c>
      <c r="B157" s="24" t="s">
        <v>165</v>
      </c>
      <c r="C157" s="26"/>
      <c r="D157" s="39" t="s">
        <v>166</v>
      </c>
      <c r="E157" s="25" t="s">
        <v>140</v>
      </c>
      <c r="F157" s="25"/>
      <c r="G157" s="25"/>
      <c r="H157" s="38"/>
      <c r="I157" s="51" t="s">
        <v>204</v>
      </c>
      <c r="J157" s="29" t="s">
        <v>100</v>
      </c>
      <c r="K157" s="30">
        <f>9975</f>
        <v>9975</v>
      </c>
      <c r="L157" s="31">
        <f>14132</f>
        <v>14132</v>
      </c>
      <c r="M157" s="26">
        <f>18534</f>
        <v>18534</v>
      </c>
      <c r="N157" s="26">
        <f>18534</f>
        <v>18534</v>
      </c>
      <c r="O157" s="26"/>
      <c r="P157" s="26"/>
      <c r="Q157" s="26"/>
      <c r="R157" s="26"/>
      <c r="S157" s="32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</row>
    <row r="158" spans="1:72" ht="13" customHeight="1">
      <c r="A158" s="24" t="s">
        <v>25</v>
      </c>
      <c r="B158" s="24" t="s">
        <v>165</v>
      </c>
      <c r="C158" s="26"/>
      <c r="D158" s="39" t="s">
        <v>166</v>
      </c>
      <c r="E158" s="25" t="s">
        <v>140</v>
      </c>
      <c r="F158" s="25"/>
      <c r="G158" s="25"/>
      <c r="H158" s="38"/>
      <c r="I158" s="52" t="s">
        <v>205</v>
      </c>
      <c r="J158" s="29" t="s">
        <v>100</v>
      </c>
      <c r="K158" s="30">
        <f>8675</f>
        <v>8675</v>
      </c>
      <c r="L158" s="31">
        <f>11360</f>
        <v>11360</v>
      </c>
      <c r="M158" s="26">
        <f>14800</f>
        <v>14800</v>
      </c>
      <c r="N158" s="26">
        <f>16000</f>
        <v>16000</v>
      </c>
      <c r="O158" s="26"/>
      <c r="P158" s="26"/>
      <c r="Q158" s="26"/>
      <c r="R158" s="26"/>
      <c r="S158" s="32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</row>
    <row r="159" spans="1:72" ht="13" customHeight="1">
      <c r="A159" s="24" t="s">
        <v>25</v>
      </c>
      <c r="B159" s="24" t="s">
        <v>165</v>
      </c>
      <c r="C159" s="26"/>
      <c r="D159" s="39" t="s">
        <v>166</v>
      </c>
      <c r="E159" s="25" t="s">
        <v>140</v>
      </c>
      <c r="F159" s="25"/>
      <c r="G159" s="25"/>
      <c r="H159" s="38"/>
      <c r="I159" s="52" t="s">
        <v>206</v>
      </c>
      <c r="J159" s="29" t="s">
        <v>100</v>
      </c>
      <c r="K159" s="30">
        <f>2107</f>
        <v>2107</v>
      </c>
      <c r="L159" s="31">
        <f>3005</f>
        <v>3005</v>
      </c>
      <c r="M159" s="26">
        <f>3215</f>
        <v>3215</v>
      </c>
      <c r="N159" s="26">
        <f>3450</f>
        <v>3450</v>
      </c>
      <c r="O159" s="26"/>
      <c r="P159" s="26"/>
      <c r="Q159" s="26"/>
      <c r="R159" s="26"/>
      <c r="S159" s="32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</row>
    <row r="160" spans="1:72" ht="13" customHeight="1">
      <c r="A160" s="24" t="s">
        <v>25</v>
      </c>
      <c r="B160" s="24" t="s">
        <v>165</v>
      </c>
      <c r="C160" s="26"/>
      <c r="D160" s="39" t="s">
        <v>166</v>
      </c>
      <c r="E160" s="25" t="s">
        <v>140</v>
      </c>
      <c r="F160" s="25"/>
      <c r="G160" s="25"/>
      <c r="H160" s="38"/>
      <c r="I160" s="52" t="s">
        <v>207</v>
      </c>
      <c r="J160" s="29" t="s">
        <v>100</v>
      </c>
      <c r="K160" s="30">
        <f>6679</f>
        <v>6679</v>
      </c>
      <c r="L160" s="31">
        <f>8400</f>
        <v>8400</v>
      </c>
      <c r="M160" s="26">
        <f>11600</f>
        <v>11600</v>
      </c>
      <c r="N160" s="26">
        <f>12550</f>
        <v>12550</v>
      </c>
      <c r="O160" s="26"/>
      <c r="P160" s="26"/>
      <c r="Q160" s="26"/>
      <c r="R160" s="26"/>
      <c r="S160" s="32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</row>
    <row r="161" spans="1:72" ht="13" customHeight="1">
      <c r="A161" s="24" t="s">
        <v>25</v>
      </c>
      <c r="B161" s="24" t="s">
        <v>165</v>
      </c>
      <c r="C161" s="26"/>
      <c r="D161" s="39" t="s">
        <v>166</v>
      </c>
      <c r="E161" s="25" t="s">
        <v>140</v>
      </c>
      <c r="F161" s="25"/>
      <c r="G161" s="25"/>
      <c r="H161" s="38"/>
      <c r="I161" s="52" t="s">
        <v>208</v>
      </c>
      <c r="J161" s="29" t="s">
        <v>100</v>
      </c>
      <c r="K161" s="30">
        <f>111</f>
        <v>111</v>
      </c>
      <c r="L161" s="31">
        <f>45</f>
        <v>45</v>
      </c>
      <c r="M161" s="26">
        <f>15</f>
        <v>15</v>
      </c>
      <c r="N161" s="26">
        <f>5</f>
        <v>5</v>
      </c>
      <c r="O161" s="26"/>
      <c r="P161" s="26"/>
      <c r="Q161" s="26"/>
      <c r="R161" s="26"/>
      <c r="S161" s="32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</row>
    <row r="162" spans="1:72" ht="13" customHeight="1">
      <c r="A162" s="24" t="s">
        <v>25</v>
      </c>
      <c r="B162" s="24" t="s">
        <v>165</v>
      </c>
      <c r="C162" s="26"/>
      <c r="D162" s="39" t="s">
        <v>166</v>
      </c>
      <c r="E162" s="25" t="s">
        <v>142</v>
      </c>
      <c r="F162" s="25"/>
      <c r="G162" s="25"/>
      <c r="H162" s="38"/>
      <c r="I162" s="51" t="s">
        <v>204</v>
      </c>
      <c r="J162" s="29" t="s">
        <v>100</v>
      </c>
      <c r="K162" s="30">
        <f>9975</f>
        <v>9975</v>
      </c>
      <c r="L162" s="31">
        <f>14132</f>
        <v>14132</v>
      </c>
      <c r="M162" s="26">
        <f>18534</f>
        <v>18534</v>
      </c>
      <c r="N162" s="26">
        <f>18906</f>
        <v>18906</v>
      </c>
      <c r="O162" s="26"/>
      <c r="P162" s="26"/>
      <c r="Q162" s="26"/>
      <c r="R162" s="26"/>
      <c r="S162" s="32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</row>
    <row r="163" spans="1:72" ht="13" customHeight="1">
      <c r="A163" s="24" t="s">
        <v>25</v>
      </c>
      <c r="B163" s="24" t="s">
        <v>165</v>
      </c>
      <c r="C163" s="26"/>
      <c r="D163" s="39" t="s">
        <v>166</v>
      </c>
      <c r="E163" s="25" t="s">
        <v>142</v>
      </c>
      <c r="F163" s="25"/>
      <c r="G163" s="25"/>
      <c r="H163" s="38"/>
      <c r="I163" s="52" t="s">
        <v>205</v>
      </c>
      <c r="J163" s="29" t="s">
        <v>100</v>
      </c>
      <c r="K163" s="30">
        <f>8675</f>
        <v>8675</v>
      </c>
      <c r="L163" s="31">
        <f>11455</f>
        <v>11455</v>
      </c>
      <c r="M163" s="26">
        <f>15170</f>
        <v>15170</v>
      </c>
      <c r="N163" s="26">
        <f>17050</f>
        <v>17050</v>
      </c>
      <c r="O163" s="26"/>
      <c r="P163" s="26"/>
      <c r="Q163" s="26"/>
      <c r="R163" s="26"/>
      <c r="S163" s="32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</row>
    <row r="164" spans="1:72" ht="13" customHeight="1">
      <c r="A164" s="24" t="s">
        <v>25</v>
      </c>
      <c r="B164" s="24" t="s">
        <v>165</v>
      </c>
      <c r="C164" s="26"/>
      <c r="D164" s="39" t="s">
        <v>166</v>
      </c>
      <c r="E164" s="25" t="s">
        <v>142</v>
      </c>
      <c r="F164" s="25"/>
      <c r="G164" s="25"/>
      <c r="H164" s="38"/>
      <c r="I164" s="52" t="s">
        <v>206</v>
      </c>
      <c r="J164" s="29" t="s">
        <v>100</v>
      </c>
      <c r="K164" s="30">
        <f>2107</f>
        <v>2107</v>
      </c>
      <c r="L164" s="31">
        <f>3035</f>
        <v>3035</v>
      </c>
      <c r="M164" s="26">
        <f>3500</f>
        <v>3500</v>
      </c>
      <c r="N164" s="26">
        <f>3900</f>
        <v>3900</v>
      </c>
      <c r="O164" s="26"/>
      <c r="P164" s="26"/>
      <c r="Q164" s="26"/>
      <c r="R164" s="26"/>
      <c r="S164" s="32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</row>
    <row r="165" spans="1:72" ht="13" customHeight="1">
      <c r="A165" s="24" t="s">
        <v>25</v>
      </c>
      <c r="B165" s="24" t="s">
        <v>165</v>
      </c>
      <c r="C165" s="26"/>
      <c r="D165" s="39" t="s">
        <v>166</v>
      </c>
      <c r="E165" s="25" t="s">
        <v>142</v>
      </c>
      <c r="F165" s="25"/>
      <c r="G165" s="25"/>
      <c r="H165" s="38"/>
      <c r="I165" s="52" t="s">
        <v>207</v>
      </c>
      <c r="J165" s="29" t="s">
        <v>100</v>
      </c>
      <c r="K165" s="30">
        <f>6679</f>
        <v>6679</v>
      </c>
      <c r="L165" s="31">
        <f>8455</f>
        <v>8455</v>
      </c>
      <c r="M165" s="26">
        <f>11680</f>
        <v>11680</v>
      </c>
      <c r="N165" s="26">
        <f>13150</f>
        <v>13150</v>
      </c>
      <c r="O165" s="26"/>
      <c r="P165" s="26"/>
      <c r="Q165" s="26"/>
      <c r="R165" s="26"/>
      <c r="S165" s="32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</row>
    <row r="166" spans="1:72" ht="13" customHeight="1">
      <c r="A166" s="24" t="s">
        <v>25</v>
      </c>
      <c r="B166" s="24" t="s">
        <v>165</v>
      </c>
      <c r="C166" s="26"/>
      <c r="D166" s="39" t="s">
        <v>166</v>
      </c>
      <c r="E166" s="25" t="s">
        <v>142</v>
      </c>
      <c r="F166" s="25"/>
      <c r="G166" s="25"/>
      <c r="H166" s="38"/>
      <c r="I166" s="52" t="s">
        <v>208</v>
      </c>
      <c r="J166" s="29" t="s">
        <v>100</v>
      </c>
      <c r="K166" s="30">
        <f>111</f>
        <v>111</v>
      </c>
      <c r="L166" s="31">
        <f>35</f>
        <v>35</v>
      </c>
      <c r="M166" s="26">
        <f>10</f>
        <v>10</v>
      </c>
      <c r="N166" s="26">
        <f>0</f>
        <v>0</v>
      </c>
      <c r="O166" s="26"/>
      <c r="P166" s="26"/>
      <c r="Q166" s="26"/>
      <c r="R166" s="26"/>
      <c r="S166" s="32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</row>
    <row r="167" spans="1:72" ht="13" customHeight="1">
      <c r="A167" s="24" t="s">
        <v>25</v>
      </c>
      <c r="B167" s="24" t="s">
        <v>165</v>
      </c>
      <c r="C167" s="26"/>
      <c r="D167" s="39" t="s">
        <v>166</v>
      </c>
      <c r="E167" s="25" t="s">
        <v>140</v>
      </c>
      <c r="F167" s="25"/>
      <c r="G167" s="25"/>
      <c r="H167" s="38"/>
      <c r="I167" s="28" t="s">
        <v>209</v>
      </c>
      <c r="J167" s="29" t="s">
        <v>100</v>
      </c>
      <c r="K167" s="30">
        <f>231</f>
        <v>231</v>
      </c>
      <c r="L167" s="31">
        <f>350</f>
        <v>350</v>
      </c>
      <c r="M167" s="26">
        <f>826</f>
        <v>826</v>
      </c>
      <c r="N167" s="26">
        <f>826</f>
        <v>826</v>
      </c>
      <c r="O167" s="26"/>
      <c r="P167" s="26"/>
      <c r="Q167" s="26"/>
      <c r="R167" s="26"/>
      <c r="S167" s="32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</row>
    <row r="168" spans="1:72" ht="13" customHeight="1">
      <c r="A168" s="24" t="s">
        <v>25</v>
      </c>
      <c r="B168" s="24" t="s">
        <v>165</v>
      </c>
      <c r="C168" s="26"/>
      <c r="D168" s="39" t="s">
        <v>166</v>
      </c>
      <c r="E168" s="25" t="s">
        <v>140</v>
      </c>
      <c r="F168" s="25"/>
      <c r="G168" s="25"/>
      <c r="H168" s="38"/>
      <c r="I168" s="28" t="s">
        <v>210</v>
      </c>
      <c r="J168" s="29" t="s">
        <v>100</v>
      </c>
      <c r="K168" s="30">
        <f>190</f>
        <v>190</v>
      </c>
      <c r="L168" s="31">
        <f>268</f>
        <v>268</v>
      </c>
      <c r="M168" s="26">
        <f>380</f>
        <v>380</v>
      </c>
      <c r="N168" s="26">
        <f>573</f>
        <v>573</v>
      </c>
      <c r="O168" s="26"/>
      <c r="P168" s="26"/>
      <c r="Q168" s="26"/>
      <c r="R168" s="26"/>
      <c r="S168" s="32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</row>
    <row r="169" spans="1:72" ht="13" customHeight="1">
      <c r="A169" s="24" t="s">
        <v>25</v>
      </c>
      <c r="B169" s="24" t="s">
        <v>165</v>
      </c>
      <c r="C169" s="26"/>
      <c r="D169" s="39" t="s">
        <v>166</v>
      </c>
      <c r="E169" s="25" t="s">
        <v>140</v>
      </c>
      <c r="F169" s="25"/>
      <c r="G169" s="25"/>
      <c r="H169" s="38"/>
      <c r="I169" s="28" t="s">
        <v>174</v>
      </c>
      <c r="J169" s="29" t="s">
        <v>100</v>
      </c>
      <c r="K169" s="30">
        <f>435</f>
        <v>435</v>
      </c>
      <c r="L169" s="31">
        <f>492</f>
        <v>492</v>
      </c>
      <c r="M169" s="26">
        <f>480</f>
        <v>480</v>
      </c>
      <c r="N169" s="26">
        <f>563</f>
        <v>563</v>
      </c>
      <c r="O169" s="26"/>
      <c r="P169" s="26"/>
      <c r="Q169" s="26"/>
      <c r="R169" s="26"/>
      <c r="S169" s="32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</row>
    <row r="170" spans="1:72" ht="13" customHeight="1">
      <c r="A170" s="24" t="s">
        <v>25</v>
      </c>
      <c r="B170" s="24" t="s">
        <v>165</v>
      </c>
      <c r="C170" s="26"/>
      <c r="D170" s="39" t="s">
        <v>166</v>
      </c>
      <c r="E170" s="25" t="s">
        <v>140</v>
      </c>
      <c r="F170" s="25"/>
      <c r="G170" s="25"/>
      <c r="H170" s="38"/>
      <c r="I170" s="28" t="s">
        <v>211</v>
      </c>
      <c r="J170" s="29" t="s">
        <v>100</v>
      </c>
      <c r="K170" s="30">
        <f>32</f>
        <v>32</v>
      </c>
      <c r="L170" s="31">
        <f>36</f>
        <v>36</v>
      </c>
      <c r="M170" s="26">
        <f>90</f>
        <v>90</v>
      </c>
      <c r="N170" s="26">
        <f>100</f>
        <v>100</v>
      </c>
      <c r="O170" s="26"/>
      <c r="P170" s="26"/>
      <c r="Q170" s="26"/>
      <c r="R170" s="26"/>
      <c r="S170" s="32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</row>
    <row r="171" spans="1:72" ht="13" customHeight="1">
      <c r="A171" s="24" t="s">
        <v>25</v>
      </c>
      <c r="B171" s="24" t="s">
        <v>165</v>
      </c>
      <c r="C171" s="26"/>
      <c r="D171" s="39" t="s">
        <v>166</v>
      </c>
      <c r="E171" s="25" t="s">
        <v>140</v>
      </c>
      <c r="F171" s="25"/>
      <c r="G171" s="25"/>
      <c r="H171" s="38"/>
      <c r="I171" s="28" t="s">
        <v>212</v>
      </c>
      <c r="J171" s="29" t="s">
        <v>100</v>
      </c>
      <c r="K171" s="30">
        <f>277</f>
        <v>277</v>
      </c>
      <c r="L171" s="31">
        <f>260</f>
        <v>260</v>
      </c>
      <c r="M171" s="26">
        <f>190</f>
        <v>190</v>
      </c>
      <c r="N171" s="26">
        <f>120</f>
        <v>120</v>
      </c>
      <c r="O171" s="26"/>
      <c r="P171" s="26"/>
      <c r="Q171" s="26"/>
      <c r="R171" s="26"/>
      <c r="S171" s="32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</row>
    <row r="172" spans="1:72" ht="13" customHeight="1">
      <c r="A172" s="24" t="s">
        <v>25</v>
      </c>
      <c r="B172" s="24" t="s">
        <v>165</v>
      </c>
      <c r="C172" s="26"/>
      <c r="D172" s="39" t="s">
        <v>166</v>
      </c>
      <c r="E172" s="25" t="s">
        <v>142</v>
      </c>
      <c r="F172" s="25"/>
      <c r="G172" s="25"/>
      <c r="H172" s="38"/>
      <c r="I172" s="28" t="s">
        <v>209</v>
      </c>
      <c r="J172" s="29" t="s">
        <v>100</v>
      </c>
      <c r="K172" s="30">
        <f>231</f>
        <v>231</v>
      </c>
      <c r="L172" s="31">
        <f>350</f>
        <v>350</v>
      </c>
      <c r="M172" s="26">
        <f>826</f>
        <v>826</v>
      </c>
      <c r="N172" s="26">
        <f>860</f>
        <v>860</v>
      </c>
      <c r="O172" s="26"/>
      <c r="P172" s="26"/>
      <c r="Q172" s="26"/>
      <c r="R172" s="26"/>
      <c r="S172" s="32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</row>
    <row r="173" spans="1:72" ht="13" customHeight="1">
      <c r="A173" s="24" t="s">
        <v>25</v>
      </c>
      <c r="B173" s="24" t="s">
        <v>165</v>
      </c>
      <c r="C173" s="26"/>
      <c r="D173" s="39" t="s">
        <v>166</v>
      </c>
      <c r="E173" s="25" t="s">
        <v>142</v>
      </c>
      <c r="F173" s="25"/>
      <c r="G173" s="25"/>
      <c r="H173" s="38"/>
      <c r="I173" s="28" t="s">
        <v>210</v>
      </c>
      <c r="J173" s="29" t="s">
        <v>100</v>
      </c>
      <c r="K173" s="30">
        <f>190</f>
        <v>190</v>
      </c>
      <c r="L173" s="31">
        <f>287</f>
        <v>287</v>
      </c>
      <c r="M173" s="26">
        <f>480</f>
        <v>480</v>
      </c>
      <c r="N173" s="26">
        <f>830</f>
        <v>830</v>
      </c>
      <c r="O173" s="26"/>
      <c r="P173" s="26"/>
      <c r="Q173" s="26"/>
      <c r="R173" s="26"/>
      <c r="S173" s="32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</row>
    <row r="174" spans="1:72" ht="13" customHeight="1">
      <c r="A174" s="24" t="s">
        <v>25</v>
      </c>
      <c r="B174" s="24" t="s">
        <v>165</v>
      </c>
      <c r="C174" s="26"/>
      <c r="D174" s="39" t="s">
        <v>166</v>
      </c>
      <c r="E174" s="25" t="s">
        <v>142</v>
      </c>
      <c r="F174" s="25"/>
      <c r="G174" s="25"/>
      <c r="H174" s="38"/>
      <c r="I174" s="28" t="s">
        <v>174</v>
      </c>
      <c r="J174" s="29" t="s">
        <v>100</v>
      </c>
      <c r="K174" s="30">
        <f>435</f>
        <v>435</v>
      </c>
      <c r="L174" s="31">
        <f>541</f>
        <v>541</v>
      </c>
      <c r="M174" s="26">
        <f>680</f>
        <v>680</v>
      </c>
      <c r="N174" s="26">
        <f>680</f>
        <v>680</v>
      </c>
      <c r="O174" s="26"/>
      <c r="P174" s="26"/>
      <c r="Q174" s="26"/>
      <c r="R174" s="26"/>
      <c r="S174" s="32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</row>
    <row r="175" spans="1:72" ht="13" customHeight="1">
      <c r="A175" s="24" t="s">
        <v>25</v>
      </c>
      <c r="B175" s="24" t="s">
        <v>165</v>
      </c>
      <c r="C175" s="26"/>
      <c r="D175" s="39" t="s">
        <v>166</v>
      </c>
      <c r="E175" s="25" t="s">
        <v>142</v>
      </c>
      <c r="F175" s="25"/>
      <c r="G175" s="25"/>
      <c r="H175" s="38"/>
      <c r="I175" s="28" t="s">
        <v>211</v>
      </c>
      <c r="J175" s="29" t="s">
        <v>100</v>
      </c>
      <c r="K175" s="30">
        <f>32</f>
        <v>32</v>
      </c>
      <c r="L175" s="31">
        <f>36</f>
        <v>36</v>
      </c>
      <c r="M175" s="26">
        <f>90</f>
        <v>90</v>
      </c>
      <c r="N175" s="26">
        <f>150</f>
        <v>150</v>
      </c>
      <c r="O175" s="26"/>
      <c r="P175" s="26"/>
      <c r="Q175" s="26"/>
      <c r="R175" s="26"/>
      <c r="S175" s="32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</row>
    <row r="176" spans="1:72" ht="13" customHeight="1">
      <c r="A176" s="24" t="s">
        <v>25</v>
      </c>
      <c r="B176" s="24" t="s">
        <v>165</v>
      </c>
      <c r="C176" s="26"/>
      <c r="D176" s="39" t="s">
        <v>166</v>
      </c>
      <c r="E176" s="25" t="s">
        <v>142</v>
      </c>
      <c r="F176" s="25"/>
      <c r="G176" s="25"/>
      <c r="H176" s="38"/>
      <c r="I176" s="33" t="s">
        <v>212</v>
      </c>
      <c r="J176" s="29" t="s">
        <v>100</v>
      </c>
      <c r="K176" s="30">
        <f>277</f>
        <v>277</v>
      </c>
      <c r="L176" s="31">
        <f>290</f>
        <v>290</v>
      </c>
      <c r="M176" s="26">
        <f>290</f>
        <v>290</v>
      </c>
      <c r="N176" s="26">
        <f>145</f>
        <v>145</v>
      </c>
      <c r="O176" s="26"/>
      <c r="P176" s="26"/>
      <c r="Q176" s="26"/>
      <c r="R176" s="26"/>
      <c r="S176" s="32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</row>
    <row r="177" spans="1:72" ht="13" customHeight="1">
      <c r="A177" s="24" t="s">
        <v>25</v>
      </c>
      <c r="B177" s="24" t="s">
        <v>165</v>
      </c>
      <c r="C177" s="26"/>
      <c r="D177" s="39" t="s">
        <v>166</v>
      </c>
      <c r="E177" s="25" t="s">
        <v>140</v>
      </c>
      <c r="F177" s="25"/>
      <c r="G177" s="25"/>
      <c r="H177" s="38"/>
      <c r="I177" s="28" t="s">
        <v>213</v>
      </c>
      <c r="J177" s="29" t="s">
        <v>100</v>
      </c>
      <c r="K177" s="30">
        <f>1977</f>
        <v>1977</v>
      </c>
      <c r="L177" s="31">
        <f>2320</f>
        <v>2320</v>
      </c>
      <c r="M177" s="26">
        <f>2900</f>
        <v>2900</v>
      </c>
      <c r="N177" s="26">
        <f>3200</f>
        <v>3200</v>
      </c>
      <c r="O177" s="26"/>
      <c r="P177" s="26"/>
      <c r="Q177" s="26"/>
      <c r="R177" s="26"/>
      <c r="S177" s="32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</row>
    <row r="178" spans="1:72" ht="13" customHeight="1">
      <c r="A178" s="24" t="s">
        <v>25</v>
      </c>
      <c r="B178" s="24" t="s">
        <v>165</v>
      </c>
      <c r="C178" s="26"/>
      <c r="D178" s="39" t="s">
        <v>166</v>
      </c>
      <c r="E178" s="25" t="s">
        <v>140</v>
      </c>
      <c r="F178" s="25"/>
      <c r="G178" s="25"/>
      <c r="H178" s="38"/>
      <c r="I178" s="28" t="s">
        <v>122</v>
      </c>
      <c r="J178" s="29" t="s">
        <v>100</v>
      </c>
      <c r="K178" s="30">
        <f>1516</f>
        <v>1516</v>
      </c>
      <c r="L178" s="31">
        <f>2020</f>
        <v>2020</v>
      </c>
      <c r="M178" s="26">
        <f>2394</f>
        <v>2394</v>
      </c>
      <c r="N178" s="26">
        <f>2569</f>
        <v>2569</v>
      </c>
      <c r="O178" s="26"/>
      <c r="P178" s="26"/>
      <c r="Q178" s="26"/>
      <c r="R178" s="26"/>
      <c r="S178" s="32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</row>
    <row r="179" spans="1:72" ht="13" customHeight="1">
      <c r="A179" s="24" t="s">
        <v>25</v>
      </c>
      <c r="B179" s="24" t="s">
        <v>165</v>
      </c>
      <c r="C179" s="26"/>
      <c r="D179" s="39" t="s">
        <v>166</v>
      </c>
      <c r="E179" s="25" t="s">
        <v>140</v>
      </c>
      <c r="F179" s="25"/>
      <c r="G179" s="25"/>
      <c r="H179" s="38"/>
      <c r="I179" s="28" t="s">
        <v>176</v>
      </c>
      <c r="J179" s="29" t="s">
        <v>100</v>
      </c>
      <c r="K179" s="30">
        <f>1752</f>
        <v>1752</v>
      </c>
      <c r="L179" s="31">
        <f>2240</f>
        <v>2240</v>
      </c>
      <c r="M179" s="26">
        <f>2484</f>
        <v>2484</v>
      </c>
      <c r="N179" s="26">
        <f>2579</f>
        <v>2579</v>
      </c>
      <c r="O179" s="26"/>
      <c r="P179" s="26"/>
      <c r="Q179" s="26"/>
      <c r="R179" s="26"/>
      <c r="S179" s="32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</row>
    <row r="180" spans="1:72" ht="13" customHeight="1">
      <c r="A180" s="24" t="s">
        <v>25</v>
      </c>
      <c r="B180" s="24" t="s">
        <v>165</v>
      </c>
      <c r="C180" s="26"/>
      <c r="D180" s="39" t="s">
        <v>166</v>
      </c>
      <c r="E180" s="25" t="s">
        <v>140</v>
      </c>
      <c r="F180" s="25"/>
      <c r="G180" s="25"/>
      <c r="H180" s="38"/>
      <c r="I180" s="33" t="s">
        <v>214</v>
      </c>
      <c r="J180" s="29" t="s">
        <v>100</v>
      </c>
      <c r="K180" s="30">
        <f>249</f>
        <v>249</v>
      </c>
      <c r="L180" s="31">
        <f>280</f>
        <v>280</v>
      </c>
      <c r="M180" s="26">
        <f>330</f>
        <v>330</v>
      </c>
      <c r="N180" s="26">
        <f>350</f>
        <v>350</v>
      </c>
      <c r="O180" s="26"/>
      <c r="P180" s="26"/>
      <c r="Q180" s="26"/>
      <c r="R180" s="26"/>
      <c r="S180" s="32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</row>
    <row r="181" spans="1:72" ht="13" customHeight="1">
      <c r="A181" s="24" t="s">
        <v>25</v>
      </c>
      <c r="B181" s="24" t="s">
        <v>165</v>
      </c>
      <c r="C181" s="26"/>
      <c r="D181" s="39" t="s">
        <v>166</v>
      </c>
      <c r="E181" s="25" t="s">
        <v>140</v>
      </c>
      <c r="F181" s="25"/>
      <c r="G181" s="25"/>
      <c r="H181" s="38"/>
      <c r="I181" s="33" t="s">
        <v>215</v>
      </c>
      <c r="J181" s="29" t="s">
        <v>100</v>
      </c>
      <c r="K181" s="30">
        <f>485</f>
        <v>485</v>
      </c>
      <c r="L181" s="31">
        <f>500</f>
        <v>500</v>
      </c>
      <c r="M181" s="26">
        <f>420</f>
        <v>420</v>
      </c>
      <c r="N181" s="26">
        <f>360</f>
        <v>360</v>
      </c>
      <c r="O181" s="26"/>
      <c r="P181" s="26"/>
      <c r="Q181" s="26"/>
      <c r="R181" s="26"/>
      <c r="S181" s="32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</row>
    <row r="182" spans="1:72" ht="13" customHeight="1">
      <c r="A182" s="24" t="s">
        <v>25</v>
      </c>
      <c r="B182" s="24" t="s">
        <v>165</v>
      </c>
      <c r="C182" s="26"/>
      <c r="D182" s="39" t="s">
        <v>166</v>
      </c>
      <c r="E182" s="25" t="s">
        <v>142</v>
      </c>
      <c r="F182" s="25"/>
      <c r="G182" s="25"/>
      <c r="H182" s="38"/>
      <c r="I182" s="28" t="s">
        <v>216</v>
      </c>
      <c r="J182" s="29" t="s">
        <v>100</v>
      </c>
      <c r="K182" s="30">
        <f>1977</f>
        <v>1977</v>
      </c>
      <c r="L182" s="31">
        <f>2400</f>
        <v>2400</v>
      </c>
      <c r="M182" s="26">
        <f>3250</f>
        <v>3250</v>
      </c>
      <c r="N182" s="26">
        <f>3500</f>
        <v>3500</v>
      </c>
      <c r="O182" s="26"/>
      <c r="P182" s="26"/>
      <c r="Q182" s="26"/>
      <c r="R182" s="26"/>
      <c r="S182" s="32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</row>
    <row r="183" spans="1:72" ht="13" customHeight="1">
      <c r="A183" s="24" t="s">
        <v>25</v>
      </c>
      <c r="B183" s="24" t="s">
        <v>165</v>
      </c>
      <c r="C183" s="26"/>
      <c r="D183" s="39" t="s">
        <v>166</v>
      </c>
      <c r="E183" s="25" t="s">
        <v>142</v>
      </c>
      <c r="F183" s="25"/>
      <c r="G183" s="25"/>
      <c r="H183" s="38"/>
      <c r="I183" s="28" t="s">
        <v>122</v>
      </c>
      <c r="J183" s="29" t="s">
        <v>100</v>
      </c>
      <c r="K183" s="30">
        <f>1516</f>
        <v>1516</v>
      </c>
      <c r="L183" s="31">
        <f>2093</f>
        <v>2093</v>
      </c>
      <c r="M183" s="26">
        <f>2428</f>
        <v>2428</v>
      </c>
      <c r="N183" s="26">
        <f>3100</f>
        <v>3100</v>
      </c>
      <c r="O183" s="26"/>
      <c r="P183" s="26"/>
      <c r="Q183" s="26"/>
      <c r="R183" s="26"/>
      <c r="S183" s="32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</row>
    <row r="184" spans="1:72" ht="13" customHeight="1">
      <c r="A184" s="24" t="s">
        <v>25</v>
      </c>
      <c r="B184" s="24" t="s">
        <v>165</v>
      </c>
      <c r="C184" s="26"/>
      <c r="D184" s="39" t="s">
        <v>166</v>
      </c>
      <c r="E184" s="25" t="s">
        <v>142</v>
      </c>
      <c r="F184" s="25"/>
      <c r="G184" s="25"/>
      <c r="H184" s="38"/>
      <c r="I184" s="28" t="s">
        <v>176</v>
      </c>
      <c r="J184" s="29" t="s">
        <v>100</v>
      </c>
      <c r="K184" s="30">
        <f>1752</f>
        <v>1752</v>
      </c>
      <c r="L184" s="31">
        <f>2313</f>
        <v>2313</v>
      </c>
      <c r="M184" s="26">
        <f>2518</f>
        <v>2518</v>
      </c>
      <c r="N184" s="26">
        <f>2800</f>
        <v>2800</v>
      </c>
      <c r="O184" s="26"/>
      <c r="P184" s="26"/>
      <c r="Q184" s="26"/>
      <c r="R184" s="26"/>
      <c r="S184" s="32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</row>
    <row r="185" spans="1:72" ht="13" customHeight="1">
      <c r="A185" s="24" t="s">
        <v>25</v>
      </c>
      <c r="B185" s="24" t="s">
        <v>165</v>
      </c>
      <c r="C185" s="26"/>
      <c r="D185" s="39" t="s">
        <v>166</v>
      </c>
      <c r="E185" s="25" t="s">
        <v>142</v>
      </c>
      <c r="F185" s="25"/>
      <c r="G185" s="25"/>
      <c r="H185" s="38"/>
      <c r="I185" s="33" t="s">
        <v>214</v>
      </c>
      <c r="J185" s="29" t="s">
        <v>100</v>
      </c>
      <c r="K185" s="30">
        <f>249</f>
        <v>249</v>
      </c>
      <c r="L185" s="31">
        <f>280</f>
        <v>280</v>
      </c>
      <c r="M185" s="26">
        <f>330</f>
        <v>330</v>
      </c>
      <c r="N185" s="26">
        <v>550</v>
      </c>
      <c r="O185" s="26"/>
      <c r="P185" s="26"/>
      <c r="Q185" s="26"/>
      <c r="R185" s="26"/>
      <c r="S185" s="32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</row>
    <row r="186" spans="1:72" ht="13" customHeight="1">
      <c r="A186" s="24" t="s">
        <v>25</v>
      </c>
      <c r="B186" s="24" t="s">
        <v>165</v>
      </c>
      <c r="C186" s="26"/>
      <c r="D186" s="39" t="s">
        <v>166</v>
      </c>
      <c r="E186" s="25" t="s">
        <v>142</v>
      </c>
      <c r="F186" s="25"/>
      <c r="G186" s="25"/>
      <c r="H186" s="38"/>
      <c r="I186" s="33" t="s">
        <v>215</v>
      </c>
      <c r="J186" s="29" t="s">
        <v>100</v>
      </c>
      <c r="K186" s="30">
        <f>485</f>
        <v>485</v>
      </c>
      <c r="L186" s="31">
        <f>500</f>
        <v>500</v>
      </c>
      <c r="M186" s="26">
        <f>420</f>
        <v>420</v>
      </c>
      <c r="N186" s="26">
        <f>250</f>
        <v>250</v>
      </c>
      <c r="O186" s="26"/>
      <c r="P186" s="26"/>
      <c r="Q186" s="26"/>
      <c r="R186" s="26"/>
      <c r="S186" s="32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</row>
    <row r="187" spans="1:72" ht="13" customHeight="1">
      <c r="A187" s="24" t="s">
        <v>25</v>
      </c>
      <c r="B187" s="24" t="s">
        <v>165</v>
      </c>
      <c r="C187" s="26"/>
      <c r="D187" s="39" t="s">
        <v>166</v>
      </c>
      <c r="E187" s="25" t="s">
        <v>140</v>
      </c>
      <c r="F187" s="25"/>
      <c r="G187" s="25"/>
      <c r="H187" s="38"/>
      <c r="I187" s="28" t="s">
        <v>217</v>
      </c>
      <c r="J187" s="29" t="s">
        <v>100</v>
      </c>
      <c r="K187" s="30">
        <f>1477</f>
        <v>1477</v>
      </c>
      <c r="L187" s="31">
        <f>1508</f>
        <v>1508</v>
      </c>
      <c r="M187" s="26">
        <f>1938</f>
        <v>1938</v>
      </c>
      <c r="N187" s="26">
        <f>1938</f>
        <v>1938</v>
      </c>
      <c r="O187" s="26"/>
      <c r="P187" s="26"/>
      <c r="Q187" s="26"/>
      <c r="R187" s="26"/>
      <c r="S187" s="32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</row>
    <row r="188" spans="1:72" ht="13" customHeight="1">
      <c r="A188" s="24" t="s">
        <v>25</v>
      </c>
      <c r="B188" s="24" t="s">
        <v>165</v>
      </c>
      <c r="C188" s="26"/>
      <c r="D188" s="39" t="s">
        <v>166</v>
      </c>
      <c r="E188" s="25" t="s">
        <v>140</v>
      </c>
      <c r="F188" s="25"/>
      <c r="G188" s="25"/>
      <c r="H188" s="38"/>
      <c r="I188" s="33" t="s">
        <v>121</v>
      </c>
      <c r="J188" s="29" t="s">
        <v>100</v>
      </c>
      <c r="K188" s="30">
        <f>1291</f>
        <v>1291</v>
      </c>
      <c r="L188" s="31">
        <f>1300</f>
        <v>1300</v>
      </c>
      <c r="M188" s="26">
        <f>1340</f>
        <v>1340</v>
      </c>
      <c r="N188" s="26">
        <f>1500</f>
        <v>1500</v>
      </c>
      <c r="O188" s="26"/>
      <c r="P188" s="26"/>
      <c r="Q188" s="26"/>
      <c r="R188" s="26"/>
      <c r="S188" s="32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</row>
    <row r="189" spans="1:72" ht="13" customHeight="1">
      <c r="A189" s="24" t="s">
        <v>25</v>
      </c>
      <c r="B189" s="24" t="s">
        <v>165</v>
      </c>
      <c r="C189" s="26"/>
      <c r="D189" s="39" t="s">
        <v>166</v>
      </c>
      <c r="E189" s="25" t="s">
        <v>140</v>
      </c>
      <c r="F189" s="25"/>
      <c r="G189" s="25"/>
      <c r="H189" s="38"/>
      <c r="I189" s="33" t="s">
        <v>218</v>
      </c>
      <c r="J189" s="29" t="s">
        <v>100</v>
      </c>
      <c r="K189" s="30">
        <f>1068</f>
        <v>1068</v>
      </c>
      <c r="L189" s="31">
        <f>1077</f>
        <v>1077</v>
      </c>
      <c r="M189" s="26">
        <f>1115</f>
        <v>1115</v>
      </c>
      <c r="N189" s="26">
        <f>1261</f>
        <v>1261</v>
      </c>
      <c r="O189" s="26"/>
      <c r="P189" s="26"/>
      <c r="Q189" s="26"/>
      <c r="R189" s="26"/>
      <c r="S189" s="32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</row>
    <row r="190" spans="1:72" ht="13" customHeight="1">
      <c r="A190" s="24" t="s">
        <v>25</v>
      </c>
      <c r="B190" s="24" t="s">
        <v>165</v>
      </c>
      <c r="C190" s="26"/>
      <c r="D190" s="39" t="s">
        <v>166</v>
      </c>
      <c r="E190" s="25" t="s">
        <v>140</v>
      </c>
      <c r="F190" s="25"/>
      <c r="G190" s="25"/>
      <c r="H190" s="38"/>
      <c r="I190" s="33" t="s">
        <v>219</v>
      </c>
      <c r="J190" s="29" t="s">
        <v>100</v>
      </c>
      <c r="K190" s="30">
        <f>224</f>
        <v>224</v>
      </c>
      <c r="L190" s="31">
        <f>224</f>
        <v>224</v>
      </c>
      <c r="M190" s="26">
        <f>226</f>
        <v>226</v>
      </c>
      <c r="N190" s="26">
        <f>240</f>
        <v>240</v>
      </c>
      <c r="O190" s="26"/>
      <c r="P190" s="26"/>
      <c r="Q190" s="26"/>
      <c r="R190" s="53"/>
      <c r="S190" s="54"/>
    </row>
    <row r="191" spans="1:72" ht="13" customHeight="1">
      <c r="A191" s="24" t="s">
        <v>25</v>
      </c>
      <c r="B191" s="24" t="s">
        <v>165</v>
      </c>
      <c r="C191" s="26"/>
      <c r="D191" s="39" t="s">
        <v>166</v>
      </c>
      <c r="E191" s="25" t="s">
        <v>140</v>
      </c>
      <c r="F191" s="25"/>
      <c r="G191" s="25"/>
      <c r="H191" s="38"/>
      <c r="I191" s="33" t="s">
        <v>220</v>
      </c>
      <c r="J191" s="29" t="s">
        <v>100</v>
      </c>
      <c r="K191" s="30">
        <f>2</f>
        <v>2</v>
      </c>
      <c r="L191" s="31">
        <f>1</f>
        <v>1</v>
      </c>
      <c r="M191" s="26">
        <f>1</f>
        <v>1</v>
      </c>
      <c r="N191" s="26">
        <f>1</f>
        <v>1</v>
      </c>
      <c r="O191" s="26"/>
      <c r="P191" s="26"/>
      <c r="Q191" s="26"/>
      <c r="R191" s="53"/>
      <c r="S191" s="54"/>
    </row>
    <row r="192" spans="1:72" ht="13" customHeight="1">
      <c r="A192" s="24" t="s">
        <v>25</v>
      </c>
      <c r="B192" s="24" t="s">
        <v>165</v>
      </c>
      <c r="C192" s="26"/>
      <c r="D192" s="39" t="s">
        <v>166</v>
      </c>
      <c r="E192" s="25" t="s">
        <v>142</v>
      </c>
      <c r="F192" s="25"/>
      <c r="G192" s="25"/>
      <c r="H192" s="38"/>
      <c r="I192" s="28" t="s">
        <v>217</v>
      </c>
      <c r="J192" s="29" t="s">
        <v>100</v>
      </c>
      <c r="K192" s="30">
        <f>1477</f>
        <v>1477</v>
      </c>
      <c r="L192" s="31">
        <f>1938</f>
        <v>1938</v>
      </c>
      <c r="M192" s="26">
        <f>2168</f>
        <v>2168</v>
      </c>
      <c r="N192" s="26">
        <f>2168</f>
        <v>2168</v>
      </c>
      <c r="O192" s="26"/>
      <c r="P192" s="26"/>
      <c r="Q192" s="26"/>
      <c r="R192" s="53"/>
      <c r="S192" s="54"/>
    </row>
    <row r="193" spans="1:19" ht="13" customHeight="1">
      <c r="A193" s="24" t="s">
        <v>25</v>
      </c>
      <c r="B193" s="24" t="s">
        <v>165</v>
      </c>
      <c r="C193" s="26"/>
      <c r="D193" s="39" t="s">
        <v>166</v>
      </c>
      <c r="E193" s="25" t="s">
        <v>142</v>
      </c>
      <c r="F193" s="25"/>
      <c r="G193" s="25"/>
      <c r="H193" s="38"/>
      <c r="I193" s="33" t="s">
        <v>121</v>
      </c>
      <c r="J193" s="29" t="s">
        <v>100</v>
      </c>
      <c r="K193" s="30">
        <f>1291</f>
        <v>1291</v>
      </c>
      <c r="L193" s="31">
        <f>1420</f>
        <v>1420</v>
      </c>
      <c r="M193" s="26">
        <f>1725</f>
        <v>1725</v>
      </c>
      <c r="N193" s="26">
        <f>2100</f>
        <v>2100</v>
      </c>
      <c r="O193" s="26"/>
      <c r="P193" s="26"/>
      <c r="Q193" s="26"/>
      <c r="R193" s="53"/>
      <c r="S193" s="54"/>
    </row>
    <row r="194" spans="1:19" ht="13" customHeight="1">
      <c r="A194" s="24" t="s">
        <v>25</v>
      </c>
      <c r="B194" s="24" t="s">
        <v>165</v>
      </c>
      <c r="C194" s="26"/>
      <c r="D194" s="39" t="s">
        <v>166</v>
      </c>
      <c r="E194" s="25" t="s">
        <v>142</v>
      </c>
      <c r="F194" s="25"/>
      <c r="G194" s="25"/>
      <c r="H194" s="38"/>
      <c r="I194" s="33" t="s">
        <v>218</v>
      </c>
      <c r="J194" s="29" t="s">
        <v>100</v>
      </c>
      <c r="K194" s="30">
        <f>1068</f>
        <v>1068</v>
      </c>
      <c r="L194" s="31">
        <f>1171</f>
        <v>1171</v>
      </c>
      <c r="M194" s="26">
        <f>1415</f>
        <v>1415</v>
      </c>
      <c r="N194" s="26">
        <f>1701</f>
        <v>1701</v>
      </c>
      <c r="O194" s="26"/>
      <c r="P194" s="26"/>
      <c r="Q194" s="26"/>
      <c r="R194" s="53"/>
      <c r="S194" s="54"/>
    </row>
    <row r="195" spans="1:19" ht="13" customHeight="1">
      <c r="A195" s="24" t="s">
        <v>25</v>
      </c>
      <c r="B195" s="24" t="s">
        <v>165</v>
      </c>
      <c r="C195" s="26"/>
      <c r="D195" s="39" t="s">
        <v>166</v>
      </c>
      <c r="E195" s="25" t="s">
        <v>142</v>
      </c>
      <c r="F195" s="25"/>
      <c r="G195" s="25"/>
      <c r="H195" s="38"/>
      <c r="I195" s="33" t="s">
        <v>219</v>
      </c>
      <c r="J195" s="29" t="s">
        <v>100</v>
      </c>
      <c r="K195" s="30">
        <f>224</f>
        <v>224</v>
      </c>
      <c r="L195" s="31">
        <f>250</f>
        <v>250</v>
      </c>
      <c r="M195" s="26">
        <f>311</f>
        <v>311</v>
      </c>
      <c r="N195" s="26">
        <f>400</f>
        <v>400</v>
      </c>
      <c r="O195" s="26"/>
      <c r="P195" s="26"/>
      <c r="Q195" s="26"/>
      <c r="R195" s="53"/>
      <c r="S195" s="54"/>
    </row>
    <row r="196" spans="1:19" ht="13" customHeight="1">
      <c r="A196" s="24" t="s">
        <v>25</v>
      </c>
      <c r="B196" s="24" t="s">
        <v>165</v>
      </c>
      <c r="C196" s="26"/>
      <c r="D196" s="39" t="s">
        <v>166</v>
      </c>
      <c r="E196" s="25" t="s">
        <v>142</v>
      </c>
      <c r="F196" s="25"/>
      <c r="G196" s="25"/>
      <c r="H196" s="38"/>
      <c r="I196" s="33" t="s">
        <v>220</v>
      </c>
      <c r="J196" s="29" t="s">
        <v>100</v>
      </c>
      <c r="K196" s="30">
        <f>2</f>
        <v>2</v>
      </c>
      <c r="L196" s="31">
        <f>1</f>
        <v>1</v>
      </c>
      <c r="M196" s="26">
        <f>1</f>
        <v>1</v>
      </c>
      <c r="N196" s="26">
        <f>1</f>
        <v>1</v>
      </c>
      <c r="O196" s="26"/>
      <c r="P196" s="26"/>
      <c r="Q196" s="26"/>
      <c r="R196" s="53"/>
      <c r="S196" s="54"/>
    </row>
    <row r="197" spans="1:19" ht="13" customHeight="1">
      <c r="A197" s="24" t="s">
        <v>25</v>
      </c>
      <c r="B197" s="24" t="s">
        <v>165</v>
      </c>
      <c r="C197" s="26"/>
      <c r="D197" s="39" t="s">
        <v>166</v>
      </c>
      <c r="E197" s="25" t="s">
        <v>140</v>
      </c>
      <c r="F197" s="25"/>
      <c r="G197" s="25"/>
      <c r="H197" s="38"/>
      <c r="I197" s="28" t="s">
        <v>221</v>
      </c>
      <c r="J197" s="29" t="s">
        <v>100</v>
      </c>
      <c r="K197" s="30">
        <f>3852</f>
        <v>3852</v>
      </c>
      <c r="L197" s="31">
        <f>4077</f>
        <v>4077</v>
      </c>
      <c r="M197" s="26">
        <f>4077</f>
        <v>4077</v>
      </c>
      <c r="N197" s="26">
        <f>4077</f>
        <v>4077</v>
      </c>
      <c r="O197" s="26"/>
      <c r="P197" s="26"/>
      <c r="Q197" s="26"/>
      <c r="R197" s="53"/>
      <c r="S197" s="54"/>
    </row>
    <row r="198" spans="1:19" ht="13" customHeight="1">
      <c r="A198" s="24" t="s">
        <v>25</v>
      </c>
      <c r="B198" s="24" t="s">
        <v>165</v>
      </c>
      <c r="C198" s="26"/>
      <c r="D198" s="39" t="s">
        <v>166</v>
      </c>
      <c r="E198" s="25" t="s">
        <v>140</v>
      </c>
      <c r="F198" s="25"/>
      <c r="G198" s="25"/>
      <c r="H198" s="38"/>
      <c r="I198" s="28" t="s">
        <v>120</v>
      </c>
      <c r="J198" s="29" t="s">
        <v>100</v>
      </c>
      <c r="K198" s="30">
        <f>3402</f>
        <v>3402</v>
      </c>
      <c r="L198" s="31">
        <f>3520</f>
        <v>3520</v>
      </c>
      <c r="M198" s="26">
        <f>3910</f>
        <v>3910</v>
      </c>
      <c r="N198" s="26">
        <f>4077</f>
        <v>4077</v>
      </c>
      <c r="O198" s="26"/>
      <c r="P198" s="26"/>
      <c r="Q198" s="26"/>
      <c r="R198" s="53"/>
      <c r="S198" s="54"/>
    </row>
    <row r="199" spans="1:19" ht="13" customHeight="1">
      <c r="A199" s="24" t="s">
        <v>25</v>
      </c>
      <c r="B199" s="24" t="s">
        <v>165</v>
      </c>
      <c r="C199" s="26"/>
      <c r="D199" s="39" t="s">
        <v>166</v>
      </c>
      <c r="E199" s="25" t="s">
        <v>140</v>
      </c>
      <c r="F199" s="25"/>
      <c r="G199" s="25"/>
      <c r="H199" s="38"/>
      <c r="I199" s="28" t="s">
        <v>222</v>
      </c>
      <c r="J199" s="29" t="s">
        <v>100</v>
      </c>
      <c r="K199" s="30">
        <f>2710</f>
        <v>2710</v>
      </c>
      <c r="L199" s="31">
        <f>2795</f>
        <v>2795</v>
      </c>
      <c r="M199" s="26">
        <f>3142</f>
        <v>3142</v>
      </c>
      <c r="N199" s="26">
        <f>3159</f>
        <v>3159</v>
      </c>
      <c r="O199" s="26"/>
      <c r="P199" s="26"/>
      <c r="Q199" s="26"/>
      <c r="R199" s="53"/>
      <c r="S199" s="54"/>
    </row>
    <row r="200" spans="1:19" ht="13" customHeight="1">
      <c r="A200" s="24" t="s">
        <v>25</v>
      </c>
      <c r="B200" s="24" t="s">
        <v>165</v>
      </c>
      <c r="C200" s="26"/>
      <c r="D200" s="39" t="s">
        <v>166</v>
      </c>
      <c r="E200" s="25" t="s">
        <v>140</v>
      </c>
      <c r="F200" s="25"/>
      <c r="G200" s="25"/>
      <c r="H200" s="38"/>
      <c r="I200" s="33" t="s">
        <v>223</v>
      </c>
      <c r="J200" s="29" t="s">
        <v>100</v>
      </c>
      <c r="K200" s="30">
        <f>698</f>
        <v>698</v>
      </c>
      <c r="L200" s="31">
        <f>760</f>
        <v>760</v>
      </c>
      <c r="M200" s="26">
        <f>800</f>
        <v>800</v>
      </c>
      <c r="N200" s="26">
        <f>950</f>
        <v>950</v>
      </c>
      <c r="O200" s="26"/>
      <c r="P200" s="26"/>
      <c r="Q200" s="26"/>
      <c r="R200" s="53"/>
      <c r="S200" s="54"/>
    </row>
    <row r="201" spans="1:19" ht="13" customHeight="1">
      <c r="A201" s="24" t="s">
        <v>25</v>
      </c>
      <c r="B201" s="24" t="s">
        <v>165</v>
      </c>
      <c r="C201" s="26"/>
      <c r="D201" s="39" t="s">
        <v>166</v>
      </c>
      <c r="E201" s="25" t="s">
        <v>140</v>
      </c>
      <c r="F201" s="25"/>
      <c r="G201" s="25"/>
      <c r="H201" s="38"/>
      <c r="I201" s="33" t="s">
        <v>224</v>
      </c>
      <c r="J201" s="29" t="s">
        <v>100</v>
      </c>
      <c r="K201" s="30">
        <f>6</f>
        <v>6</v>
      </c>
      <c r="L201" s="31">
        <f>35</f>
        <v>35</v>
      </c>
      <c r="M201" s="26">
        <f>32</f>
        <v>32</v>
      </c>
      <c r="N201" s="26">
        <f>32</f>
        <v>32</v>
      </c>
      <c r="O201" s="26"/>
      <c r="P201" s="26"/>
      <c r="Q201" s="26"/>
      <c r="R201" s="53"/>
      <c r="S201" s="54"/>
    </row>
    <row r="202" spans="1:19" ht="13" customHeight="1">
      <c r="A202" s="24" t="s">
        <v>25</v>
      </c>
      <c r="B202" s="24" t="s">
        <v>165</v>
      </c>
      <c r="C202" s="26"/>
      <c r="D202" s="39" t="s">
        <v>166</v>
      </c>
      <c r="E202" s="25" t="s">
        <v>142</v>
      </c>
      <c r="F202" s="25"/>
      <c r="G202" s="25"/>
      <c r="H202" s="38"/>
      <c r="I202" s="28" t="s">
        <v>221</v>
      </c>
      <c r="J202" s="29" t="s">
        <v>100</v>
      </c>
      <c r="K202" s="30">
        <f>3852</f>
        <v>3852</v>
      </c>
      <c r="L202" s="31">
        <f>4077</f>
        <v>4077</v>
      </c>
      <c r="M202" s="26">
        <f>4677</f>
        <v>4677</v>
      </c>
      <c r="N202" s="26">
        <f>4677</f>
        <v>4677</v>
      </c>
      <c r="O202" s="26"/>
      <c r="P202" s="26"/>
      <c r="Q202" s="26"/>
      <c r="R202" s="53"/>
      <c r="S202" s="54"/>
    </row>
    <row r="203" spans="1:19" ht="13" customHeight="1">
      <c r="A203" s="24" t="s">
        <v>25</v>
      </c>
      <c r="B203" s="24" t="s">
        <v>165</v>
      </c>
      <c r="C203" s="26"/>
      <c r="D203" s="39" t="s">
        <v>166</v>
      </c>
      <c r="E203" s="25" t="s">
        <v>142</v>
      </c>
      <c r="F203" s="25"/>
      <c r="G203" s="25"/>
      <c r="H203" s="38"/>
      <c r="I203" s="28" t="s">
        <v>120</v>
      </c>
      <c r="J203" s="29" t="s">
        <v>100</v>
      </c>
      <c r="K203" s="30">
        <f>3402</f>
        <v>3402</v>
      </c>
      <c r="L203" s="31">
        <f>3667</f>
        <v>3667</v>
      </c>
      <c r="M203" s="26">
        <f>4259</f>
        <v>4259</v>
      </c>
      <c r="N203" s="26">
        <f>4600</f>
        <v>4600</v>
      </c>
      <c r="O203" s="26"/>
      <c r="P203" s="26"/>
      <c r="Q203" s="26"/>
      <c r="R203" s="53"/>
      <c r="S203" s="54"/>
    </row>
    <row r="204" spans="1:19" ht="13" customHeight="1">
      <c r="A204" s="24" t="s">
        <v>25</v>
      </c>
      <c r="B204" s="24" t="s">
        <v>165</v>
      </c>
      <c r="C204" s="26"/>
      <c r="D204" s="39" t="s">
        <v>166</v>
      </c>
      <c r="E204" s="25" t="s">
        <v>142</v>
      </c>
      <c r="F204" s="25"/>
      <c r="G204" s="25"/>
      <c r="H204" s="38"/>
      <c r="I204" s="28" t="s">
        <v>222</v>
      </c>
      <c r="J204" s="29" t="s">
        <v>100</v>
      </c>
      <c r="K204" s="30">
        <f>2710</f>
        <v>2710</v>
      </c>
      <c r="L204" s="31">
        <f>2852</f>
        <v>2852</v>
      </c>
      <c r="M204" s="26">
        <f>3293</f>
        <v>3293</v>
      </c>
      <c r="N204" s="26">
        <f>3502</f>
        <v>3502</v>
      </c>
      <c r="O204" s="26"/>
      <c r="P204" s="26"/>
      <c r="Q204" s="26"/>
      <c r="R204" s="53"/>
      <c r="S204" s="54"/>
    </row>
    <row r="205" spans="1:19" ht="13" customHeight="1">
      <c r="A205" s="24" t="s">
        <v>25</v>
      </c>
      <c r="B205" s="24" t="s">
        <v>165</v>
      </c>
      <c r="C205" s="26"/>
      <c r="D205" s="39" t="s">
        <v>166</v>
      </c>
      <c r="E205" s="25" t="s">
        <v>142</v>
      </c>
      <c r="F205" s="25"/>
      <c r="G205" s="25"/>
      <c r="H205" s="38"/>
      <c r="I205" s="33" t="s">
        <v>223</v>
      </c>
      <c r="J205" s="29" t="s">
        <v>100</v>
      </c>
      <c r="K205" s="30">
        <f>698</f>
        <v>698</v>
      </c>
      <c r="L205" s="31">
        <f>840</f>
        <v>840</v>
      </c>
      <c r="M205" s="26">
        <f>986</f>
        <v>986</v>
      </c>
      <c r="N205" s="26">
        <f>1100</f>
        <v>1100</v>
      </c>
      <c r="O205" s="26"/>
      <c r="P205" s="26"/>
      <c r="Q205" s="26"/>
      <c r="R205" s="53"/>
      <c r="S205" s="54"/>
    </row>
    <row r="206" spans="1:19" ht="13" customHeight="1">
      <c r="A206" s="24" t="s">
        <v>25</v>
      </c>
      <c r="B206" s="24" t="s">
        <v>165</v>
      </c>
      <c r="C206" s="26"/>
      <c r="D206" s="39" t="s">
        <v>166</v>
      </c>
      <c r="E206" s="25" t="s">
        <v>142</v>
      </c>
      <c r="F206" s="25"/>
      <c r="G206" s="25"/>
      <c r="H206" s="38"/>
      <c r="I206" s="33" t="s">
        <v>224</v>
      </c>
      <c r="J206" s="29" t="s">
        <v>100</v>
      </c>
      <c r="K206" s="30">
        <f>6</f>
        <v>6</v>
      </c>
      <c r="L206" s="31">
        <f>25</f>
        <v>25</v>
      </c>
      <c r="M206" s="26">
        <f>20</f>
        <v>20</v>
      </c>
      <c r="N206" s="26">
        <f>2</f>
        <v>2</v>
      </c>
      <c r="O206" s="26"/>
      <c r="P206" s="26"/>
      <c r="Q206" s="26"/>
      <c r="R206" s="53"/>
      <c r="S206" s="54"/>
    </row>
    <row r="207" spans="1:19" ht="13" customHeight="1">
      <c r="A207" s="24" t="s">
        <v>25</v>
      </c>
      <c r="B207" s="24" t="s">
        <v>165</v>
      </c>
      <c r="C207" s="26"/>
      <c r="D207" s="39" t="s">
        <v>166</v>
      </c>
      <c r="E207" s="25" t="s">
        <v>140</v>
      </c>
      <c r="F207" s="25"/>
      <c r="G207" s="25"/>
      <c r="H207" s="38"/>
      <c r="I207" s="48" t="s">
        <v>225</v>
      </c>
      <c r="J207" s="29" t="s">
        <v>226</v>
      </c>
      <c r="K207" s="30">
        <f>83288</f>
        <v>83288</v>
      </c>
      <c r="L207" s="31">
        <f>83355</f>
        <v>83355</v>
      </c>
      <c r="M207" s="26">
        <f>84813</f>
        <v>84813</v>
      </c>
      <c r="N207" s="26">
        <f>85143</f>
        <v>85143</v>
      </c>
      <c r="O207" s="26"/>
      <c r="P207" s="26"/>
      <c r="Q207" s="26"/>
      <c r="R207" s="53"/>
      <c r="S207" s="54"/>
    </row>
    <row r="208" spans="1:19" ht="13" customHeight="1">
      <c r="A208" s="24" t="s">
        <v>25</v>
      </c>
      <c r="B208" s="24" t="s">
        <v>165</v>
      </c>
      <c r="C208" s="26"/>
      <c r="D208" s="39" t="s">
        <v>166</v>
      </c>
      <c r="E208" s="25" t="s">
        <v>140</v>
      </c>
      <c r="F208" s="25"/>
      <c r="G208" s="25"/>
      <c r="H208" s="38"/>
      <c r="I208" s="28" t="s">
        <v>227</v>
      </c>
      <c r="J208" s="29" t="s">
        <v>226</v>
      </c>
      <c r="K208" s="30">
        <f>60450</f>
        <v>60450</v>
      </c>
      <c r="L208" s="31">
        <f>65121</f>
        <v>65121</v>
      </c>
      <c r="M208" s="26">
        <f>72850</f>
        <v>72850</v>
      </c>
      <c r="N208" s="26">
        <f>74954</f>
        <v>74954</v>
      </c>
      <c r="O208" s="26"/>
      <c r="P208" s="26"/>
      <c r="Q208" s="26"/>
      <c r="R208" s="53"/>
      <c r="S208" s="54"/>
    </row>
    <row r="209" spans="1:19" ht="13" customHeight="1">
      <c r="A209" s="24" t="s">
        <v>25</v>
      </c>
      <c r="B209" s="24" t="s">
        <v>165</v>
      </c>
      <c r="C209" s="26"/>
      <c r="D209" s="39" t="s">
        <v>166</v>
      </c>
      <c r="E209" s="25" t="s">
        <v>140</v>
      </c>
      <c r="F209" s="25"/>
      <c r="G209" s="25"/>
      <c r="H209" s="38"/>
      <c r="I209" s="28" t="s">
        <v>228</v>
      </c>
      <c r="J209" s="29" t="s">
        <v>226</v>
      </c>
      <c r="K209" s="30">
        <f>72465</f>
        <v>72465</v>
      </c>
      <c r="L209" s="31">
        <f>75621</f>
        <v>75621</v>
      </c>
      <c r="M209" s="26">
        <f>84750</f>
        <v>84750</v>
      </c>
      <c r="N209" s="26">
        <f>91530</f>
        <v>91530</v>
      </c>
      <c r="O209" s="26"/>
      <c r="P209" s="26"/>
      <c r="Q209" s="26"/>
      <c r="R209" s="53"/>
      <c r="S209" s="54"/>
    </row>
    <row r="210" spans="1:19" ht="13" customHeight="1">
      <c r="A210" s="24" t="s">
        <v>25</v>
      </c>
      <c r="B210" s="24" t="s">
        <v>165</v>
      </c>
      <c r="C210" s="26"/>
      <c r="D210" s="39" t="s">
        <v>166</v>
      </c>
      <c r="E210" s="25" t="s">
        <v>140</v>
      </c>
      <c r="F210" s="25"/>
      <c r="G210" s="25"/>
      <c r="H210" s="38"/>
      <c r="I210" s="28" t="s">
        <v>229</v>
      </c>
      <c r="J210" s="29" t="s">
        <v>226</v>
      </c>
      <c r="K210" s="30">
        <f>22416</f>
        <v>22416</v>
      </c>
      <c r="L210" s="31">
        <f>22300</f>
        <v>22300</v>
      </c>
      <c r="M210" s="26">
        <f>25900</f>
        <v>25900</v>
      </c>
      <c r="N210" s="26">
        <f>27400</f>
        <v>27400</v>
      </c>
      <c r="O210" s="26"/>
      <c r="P210" s="26"/>
      <c r="Q210" s="26"/>
      <c r="R210" s="53"/>
      <c r="S210" s="54"/>
    </row>
    <row r="211" spans="1:19" ht="13" customHeight="1">
      <c r="A211" s="24" t="s">
        <v>25</v>
      </c>
      <c r="B211" s="24" t="s">
        <v>165</v>
      </c>
      <c r="C211" s="26"/>
      <c r="D211" s="39" t="s">
        <v>166</v>
      </c>
      <c r="E211" s="25" t="s">
        <v>140</v>
      </c>
      <c r="F211" s="25"/>
      <c r="G211" s="25"/>
      <c r="H211" s="38"/>
      <c r="I211" s="28" t="s">
        <v>230</v>
      </c>
      <c r="J211" s="29" t="s">
        <v>226</v>
      </c>
      <c r="K211" s="30">
        <f>34431</f>
        <v>34431</v>
      </c>
      <c r="L211" s="31">
        <f>32800</f>
        <v>32800</v>
      </c>
      <c r="M211" s="26">
        <f>37800</f>
        <v>37800</v>
      </c>
      <c r="N211" s="26">
        <v>43976</v>
      </c>
      <c r="O211" s="26"/>
      <c r="P211" s="26"/>
      <c r="Q211" s="26"/>
      <c r="R211" s="53"/>
      <c r="S211" s="54"/>
    </row>
    <row r="212" spans="1:19" ht="13" customHeight="1">
      <c r="A212" s="24" t="s">
        <v>25</v>
      </c>
      <c r="B212" s="24" t="s">
        <v>165</v>
      </c>
      <c r="C212" s="26"/>
      <c r="D212" s="39" t="s">
        <v>166</v>
      </c>
      <c r="E212" s="25" t="s">
        <v>142</v>
      </c>
      <c r="F212" s="25"/>
      <c r="G212" s="25"/>
      <c r="H212" s="38"/>
      <c r="I212" s="48" t="s">
        <v>225</v>
      </c>
      <c r="J212" s="29" t="s">
        <v>226</v>
      </c>
      <c r="K212" s="30">
        <f>83288</f>
        <v>83288</v>
      </c>
      <c r="L212" s="31">
        <f>84174</f>
        <v>84174</v>
      </c>
      <c r="M212" s="26">
        <f>86764</f>
        <v>86764</v>
      </c>
      <c r="N212" s="26">
        <f>87464</f>
        <v>87464</v>
      </c>
      <c r="O212" s="26"/>
      <c r="P212" s="26"/>
      <c r="Q212" s="26"/>
      <c r="R212" s="53"/>
      <c r="S212" s="54"/>
    </row>
    <row r="213" spans="1:19" ht="13" customHeight="1">
      <c r="A213" s="24" t="s">
        <v>25</v>
      </c>
      <c r="B213" s="24" t="s">
        <v>165</v>
      </c>
      <c r="C213" s="26"/>
      <c r="D213" s="39" t="s">
        <v>166</v>
      </c>
      <c r="E213" s="25" t="s">
        <v>142</v>
      </c>
      <c r="F213" s="25"/>
      <c r="G213" s="25"/>
      <c r="H213" s="38"/>
      <c r="I213" s="28" t="s">
        <v>227</v>
      </c>
      <c r="J213" s="29" t="s">
        <v>226</v>
      </c>
      <c r="K213" s="30">
        <f>60450</f>
        <v>60450</v>
      </c>
      <c r="L213" s="31">
        <f>65121</f>
        <v>65121</v>
      </c>
      <c r="M213" s="26">
        <f>72850</f>
        <v>72850</v>
      </c>
      <c r="N213" s="26">
        <f>75962</f>
        <v>75962</v>
      </c>
      <c r="O213" s="26"/>
      <c r="P213" s="26"/>
      <c r="Q213" s="26"/>
      <c r="R213" s="53"/>
      <c r="S213" s="54"/>
    </row>
    <row r="214" spans="1:19" ht="13" customHeight="1">
      <c r="A214" s="24" t="s">
        <v>25</v>
      </c>
      <c r="B214" s="24" t="s">
        <v>165</v>
      </c>
      <c r="C214" s="26"/>
      <c r="D214" s="39" t="s">
        <v>166</v>
      </c>
      <c r="E214" s="25" t="s">
        <v>142</v>
      </c>
      <c r="F214" s="25"/>
      <c r="G214" s="25"/>
      <c r="H214" s="38"/>
      <c r="I214" s="28" t="s">
        <v>228</v>
      </c>
      <c r="J214" s="29" t="s">
        <v>226</v>
      </c>
      <c r="K214" s="30">
        <f>72465</f>
        <v>72465</v>
      </c>
      <c r="L214" s="31">
        <f>75621</f>
        <v>75621</v>
      </c>
      <c r="M214" s="26">
        <f>84750</f>
        <v>84750</v>
      </c>
      <c r="N214" s="26">
        <f>95662</f>
        <v>95662</v>
      </c>
      <c r="O214" s="26"/>
      <c r="P214" s="26"/>
      <c r="Q214" s="26"/>
      <c r="R214" s="53"/>
      <c r="S214" s="54"/>
    </row>
    <row r="215" spans="1:19" ht="13" customHeight="1">
      <c r="A215" s="24" t="s">
        <v>25</v>
      </c>
      <c r="B215" s="24" t="s">
        <v>165</v>
      </c>
      <c r="C215" s="26"/>
      <c r="D215" s="39" t="s">
        <v>166</v>
      </c>
      <c r="E215" s="25" t="s">
        <v>142</v>
      </c>
      <c r="F215" s="25"/>
      <c r="G215" s="25"/>
      <c r="H215" s="38"/>
      <c r="I215" s="28" t="s">
        <v>229</v>
      </c>
      <c r="J215" s="29" t="s">
        <v>226</v>
      </c>
      <c r="K215" s="30">
        <f>22416</f>
        <v>22416</v>
      </c>
      <c r="L215" s="31">
        <f>22300</f>
        <v>22300</v>
      </c>
      <c r="M215" s="26">
        <f>25900</f>
        <v>25900</v>
      </c>
      <c r="N215" s="26">
        <f>34000</f>
        <v>34000</v>
      </c>
      <c r="O215" s="26"/>
      <c r="P215" s="26"/>
      <c r="Q215" s="26"/>
      <c r="R215" s="53"/>
      <c r="S215" s="54"/>
    </row>
    <row r="216" spans="1:19" ht="13" customHeight="1">
      <c r="A216" s="24" t="s">
        <v>25</v>
      </c>
      <c r="B216" s="24" t="s">
        <v>165</v>
      </c>
      <c r="C216" s="26"/>
      <c r="D216" s="39" t="s">
        <v>166</v>
      </c>
      <c r="E216" s="25" t="s">
        <v>142</v>
      </c>
      <c r="F216" s="25"/>
      <c r="G216" s="25"/>
      <c r="H216" s="38"/>
      <c r="I216" s="28" t="s">
        <v>230</v>
      </c>
      <c r="J216" s="29" t="s">
        <v>226</v>
      </c>
      <c r="K216" s="30">
        <f>34431</f>
        <v>34431</v>
      </c>
      <c r="L216" s="31">
        <f>32800</f>
        <v>32800</v>
      </c>
      <c r="M216" s="26">
        <f>37800</f>
        <v>37800</v>
      </c>
      <c r="N216" s="26">
        <f>53700</f>
        <v>53700</v>
      </c>
      <c r="O216" s="26"/>
      <c r="P216" s="26"/>
      <c r="Q216" s="26"/>
      <c r="R216" s="53"/>
      <c r="S216" s="54"/>
    </row>
    <row r="217" spans="1:19" ht="13" customHeight="1">
      <c r="A217" s="24" t="s">
        <v>25</v>
      </c>
      <c r="B217" s="24" t="s">
        <v>165</v>
      </c>
      <c r="C217" s="26"/>
      <c r="D217" s="39" t="s">
        <v>166</v>
      </c>
      <c r="E217" s="25" t="s">
        <v>140</v>
      </c>
      <c r="F217" s="25"/>
      <c r="G217" s="25"/>
      <c r="H217" s="38"/>
      <c r="I217" s="51" t="s">
        <v>231</v>
      </c>
      <c r="J217" s="29" t="s">
        <v>226</v>
      </c>
      <c r="K217" s="30">
        <f>11928</f>
        <v>11928</v>
      </c>
      <c r="L217" s="31">
        <f>11233</f>
        <v>11233</v>
      </c>
      <c r="M217" s="26">
        <f>11405</f>
        <v>11405</v>
      </c>
      <c r="N217" s="26">
        <f>11435</f>
        <v>11435</v>
      </c>
      <c r="O217" s="26"/>
      <c r="P217" s="26"/>
      <c r="Q217" s="26"/>
      <c r="R217" s="53"/>
      <c r="S217" s="54"/>
    </row>
    <row r="218" spans="1:19" ht="13" customHeight="1">
      <c r="A218" s="24" t="s">
        <v>25</v>
      </c>
      <c r="B218" s="24" t="s">
        <v>165</v>
      </c>
      <c r="C218" s="26"/>
      <c r="D218" s="39" t="s">
        <v>166</v>
      </c>
      <c r="E218" s="25" t="s">
        <v>140</v>
      </c>
      <c r="F218" s="25"/>
      <c r="G218" s="25"/>
      <c r="H218" s="38"/>
      <c r="I218" s="52" t="s">
        <v>232</v>
      </c>
      <c r="J218" s="29" t="s">
        <v>226</v>
      </c>
      <c r="K218" s="30">
        <f>6493</f>
        <v>6493</v>
      </c>
      <c r="L218" s="31">
        <f>8767</f>
        <v>8767</v>
      </c>
      <c r="M218" s="26">
        <f>10179</f>
        <v>10179</v>
      </c>
      <c r="N218" s="26">
        <f>10206</f>
        <v>10206</v>
      </c>
      <c r="O218" s="26"/>
      <c r="P218" s="26"/>
      <c r="Q218" s="26"/>
      <c r="R218" s="53"/>
      <c r="S218" s="54"/>
    </row>
    <row r="219" spans="1:19" ht="13" customHeight="1">
      <c r="A219" s="24" t="s">
        <v>25</v>
      </c>
      <c r="B219" s="24" t="s">
        <v>165</v>
      </c>
      <c r="C219" s="26"/>
      <c r="D219" s="39" t="s">
        <v>166</v>
      </c>
      <c r="E219" s="25" t="s">
        <v>140</v>
      </c>
      <c r="F219" s="25"/>
      <c r="G219" s="25"/>
      <c r="H219" s="38"/>
      <c r="I219" s="52" t="s">
        <v>233</v>
      </c>
      <c r="J219" s="29" t="s">
        <v>226</v>
      </c>
      <c r="K219" s="30">
        <f>8648</f>
        <v>8648</v>
      </c>
      <c r="L219" s="31">
        <f>11467</f>
        <v>11467</v>
      </c>
      <c r="M219" s="26">
        <f>13329</f>
        <v>13329</v>
      </c>
      <c r="N219" s="26">
        <f>13406</f>
        <v>13406</v>
      </c>
      <c r="O219" s="26"/>
      <c r="P219" s="26"/>
      <c r="Q219" s="26"/>
      <c r="R219" s="53"/>
      <c r="S219" s="54"/>
    </row>
    <row r="220" spans="1:19" ht="13" customHeight="1">
      <c r="A220" s="24" t="s">
        <v>25</v>
      </c>
      <c r="B220" s="24" t="s">
        <v>165</v>
      </c>
      <c r="C220" s="26"/>
      <c r="D220" s="39" t="s">
        <v>166</v>
      </c>
      <c r="E220" s="25" t="s">
        <v>140</v>
      </c>
      <c r="F220" s="25"/>
      <c r="G220" s="25"/>
      <c r="H220" s="38"/>
      <c r="I220" s="52" t="s">
        <v>234</v>
      </c>
      <c r="J220" s="29" t="s">
        <v>226</v>
      </c>
      <c r="K220" s="30">
        <f>3968</f>
        <v>3968</v>
      </c>
      <c r="L220" s="31">
        <f>4100</f>
        <v>4100</v>
      </c>
      <c r="M220" s="26">
        <f>4800</f>
        <v>4800</v>
      </c>
      <c r="N220" s="26">
        <f>4900</f>
        <v>4900</v>
      </c>
      <c r="O220" s="26"/>
      <c r="P220" s="26"/>
      <c r="Q220" s="26"/>
      <c r="R220" s="53"/>
      <c r="S220" s="54"/>
    </row>
    <row r="221" spans="1:19" ht="13" customHeight="1">
      <c r="A221" s="24" t="s">
        <v>25</v>
      </c>
      <c r="B221" s="24" t="s">
        <v>165</v>
      </c>
      <c r="C221" s="26"/>
      <c r="D221" s="39" t="s">
        <v>166</v>
      </c>
      <c r="E221" s="25" t="s">
        <v>140</v>
      </c>
      <c r="F221" s="25"/>
      <c r="G221" s="25"/>
      <c r="H221" s="38"/>
      <c r="I221" s="52" t="s">
        <v>235</v>
      </c>
      <c r="J221" s="29" t="s">
        <v>226</v>
      </c>
      <c r="K221" s="30">
        <f>6023</f>
        <v>6023</v>
      </c>
      <c r="L221" s="31">
        <f>6800</f>
        <v>6800</v>
      </c>
      <c r="M221" s="26">
        <f>7950</f>
        <v>7950</v>
      </c>
      <c r="N221" s="26">
        <f>8100</f>
        <v>8100</v>
      </c>
      <c r="O221" s="26"/>
      <c r="P221" s="26"/>
      <c r="Q221" s="26"/>
      <c r="R221" s="53"/>
      <c r="S221" s="54"/>
    </row>
    <row r="222" spans="1:19" ht="13" customHeight="1">
      <c r="A222" s="24" t="s">
        <v>25</v>
      </c>
      <c r="B222" s="24" t="s">
        <v>165</v>
      </c>
      <c r="C222" s="26"/>
      <c r="D222" s="39" t="s">
        <v>166</v>
      </c>
      <c r="E222" s="25" t="s">
        <v>142</v>
      </c>
      <c r="F222" s="25"/>
      <c r="G222" s="25"/>
      <c r="H222" s="38"/>
      <c r="I222" s="51" t="s">
        <v>231</v>
      </c>
      <c r="J222" s="29" t="s">
        <v>226</v>
      </c>
      <c r="K222" s="30">
        <f>11928</f>
        <v>11928</v>
      </c>
      <c r="L222" s="31">
        <f>11368</f>
        <v>11368</v>
      </c>
      <c r="M222" s="26">
        <f>11503</f>
        <v>11503</v>
      </c>
      <c r="N222" s="26">
        <f>11483</f>
        <v>11483</v>
      </c>
      <c r="O222" s="26"/>
      <c r="P222" s="26"/>
      <c r="Q222" s="26"/>
      <c r="R222" s="53"/>
      <c r="S222" s="54"/>
    </row>
    <row r="223" spans="1:19" ht="13" customHeight="1">
      <c r="A223" s="24" t="s">
        <v>25</v>
      </c>
      <c r="B223" s="24" t="s">
        <v>165</v>
      </c>
      <c r="C223" s="26"/>
      <c r="D223" s="39" t="s">
        <v>166</v>
      </c>
      <c r="E223" s="25" t="s">
        <v>142</v>
      </c>
      <c r="F223" s="25"/>
      <c r="G223" s="25"/>
      <c r="H223" s="38"/>
      <c r="I223" s="52" t="s">
        <v>232</v>
      </c>
      <c r="J223" s="29" t="s">
        <v>226</v>
      </c>
      <c r="K223" s="30">
        <f>6493</f>
        <v>6493</v>
      </c>
      <c r="L223" s="31">
        <f>10387</f>
        <v>10387</v>
      </c>
      <c r="M223" s="26">
        <f>11025</f>
        <v>11025</v>
      </c>
      <c r="N223" s="26">
        <f>11100</f>
        <v>11100</v>
      </c>
      <c r="O223" s="26"/>
      <c r="P223" s="26"/>
      <c r="Q223" s="26"/>
      <c r="R223" s="53"/>
      <c r="S223" s="54"/>
    </row>
    <row r="224" spans="1:19" ht="13" customHeight="1">
      <c r="A224" s="24" t="s">
        <v>25</v>
      </c>
      <c r="B224" s="24" t="s">
        <v>165</v>
      </c>
      <c r="C224" s="26"/>
      <c r="D224" s="39" t="s">
        <v>166</v>
      </c>
      <c r="E224" s="25" t="s">
        <v>142</v>
      </c>
      <c r="F224" s="25"/>
      <c r="G224" s="25"/>
      <c r="H224" s="38"/>
      <c r="I224" s="52" t="s">
        <v>236</v>
      </c>
      <c r="J224" s="29" t="s">
        <v>226</v>
      </c>
      <c r="K224" s="30">
        <f>8648</f>
        <v>8648</v>
      </c>
      <c r="L224" s="31">
        <f>11467</f>
        <v>11467</v>
      </c>
      <c r="M224" s="26">
        <f>13329</f>
        <v>13329</v>
      </c>
      <c r="N224" s="26">
        <v>13406</v>
      </c>
      <c r="O224" s="26"/>
      <c r="P224" s="26"/>
      <c r="Q224" s="26"/>
      <c r="R224" s="53"/>
      <c r="S224" s="54"/>
    </row>
    <row r="225" spans="1:19" ht="13" customHeight="1">
      <c r="A225" s="24" t="s">
        <v>25</v>
      </c>
      <c r="B225" s="24" t="s">
        <v>165</v>
      </c>
      <c r="C225" s="26"/>
      <c r="D225" s="39" t="s">
        <v>166</v>
      </c>
      <c r="E225" s="25" t="s">
        <v>142</v>
      </c>
      <c r="F225" s="25"/>
      <c r="G225" s="25"/>
      <c r="H225" s="38"/>
      <c r="I225" s="52" t="s">
        <v>234</v>
      </c>
      <c r="J225" s="29" t="s">
        <v>226</v>
      </c>
      <c r="K225" s="30">
        <f>3968</f>
        <v>3968</v>
      </c>
      <c r="L225" s="31">
        <f>5000</f>
        <v>5000</v>
      </c>
      <c r="M225" s="26">
        <f>5300</f>
        <v>5300</v>
      </c>
      <c r="N225" s="26">
        <f>5500</f>
        <v>5500</v>
      </c>
      <c r="O225" s="26"/>
      <c r="P225" s="26"/>
      <c r="Q225" s="26"/>
      <c r="R225" s="53"/>
      <c r="S225" s="54"/>
    </row>
    <row r="226" spans="1:19" ht="13" customHeight="1">
      <c r="A226" s="24" t="s">
        <v>25</v>
      </c>
      <c r="B226" s="24" t="s">
        <v>165</v>
      </c>
      <c r="C226" s="26"/>
      <c r="D226" s="39" t="s">
        <v>166</v>
      </c>
      <c r="E226" s="25" t="s">
        <v>142</v>
      </c>
      <c r="F226" s="25"/>
      <c r="G226" s="25"/>
      <c r="H226" s="38"/>
      <c r="I226" s="52" t="s">
        <v>235</v>
      </c>
      <c r="J226" s="29" t="s">
        <v>226</v>
      </c>
      <c r="K226" s="30">
        <f>6023</f>
        <v>6023</v>
      </c>
      <c r="L226" s="31">
        <v>7800</v>
      </c>
      <c r="M226" s="26">
        <f>8250</f>
        <v>8250</v>
      </c>
      <c r="N226" s="26">
        <f>9000</f>
        <v>9000</v>
      </c>
      <c r="O226" s="26"/>
      <c r="P226" s="26"/>
      <c r="Q226" s="26"/>
      <c r="R226" s="53"/>
      <c r="S226" s="54"/>
    </row>
    <row r="227" spans="1:19" ht="13" customHeight="1">
      <c r="A227" s="24" t="s">
        <v>25</v>
      </c>
      <c r="B227" s="24" t="s">
        <v>165</v>
      </c>
      <c r="C227" s="26"/>
      <c r="D227" s="39" t="s">
        <v>166</v>
      </c>
      <c r="E227" s="25" t="s">
        <v>140</v>
      </c>
      <c r="F227" s="25"/>
      <c r="G227" s="25"/>
      <c r="H227" s="38"/>
      <c r="I227" s="51" t="s">
        <v>237</v>
      </c>
      <c r="J227" s="29" t="s">
        <v>226</v>
      </c>
      <c r="K227" s="30">
        <f>53492</f>
        <v>53492</v>
      </c>
      <c r="L227" s="31">
        <f>54164</f>
        <v>54164</v>
      </c>
      <c r="M227" s="26">
        <f>54939</f>
        <v>54939</v>
      </c>
      <c r="N227" s="26">
        <f>55139</f>
        <v>55139</v>
      </c>
      <c r="O227" s="26"/>
      <c r="P227" s="26"/>
      <c r="Q227" s="26"/>
      <c r="R227" s="53"/>
      <c r="S227" s="54"/>
    </row>
    <row r="228" spans="1:19" ht="13" customHeight="1">
      <c r="A228" s="24" t="s">
        <v>25</v>
      </c>
      <c r="B228" s="24" t="s">
        <v>165</v>
      </c>
      <c r="C228" s="26"/>
      <c r="D228" s="39" t="s">
        <v>166</v>
      </c>
      <c r="E228" s="25" t="s">
        <v>140</v>
      </c>
      <c r="F228" s="25"/>
      <c r="G228" s="25"/>
      <c r="H228" s="38"/>
      <c r="I228" s="52" t="s">
        <v>238</v>
      </c>
      <c r="J228" s="29" t="s">
        <v>226</v>
      </c>
      <c r="K228" s="30">
        <f>43103</f>
        <v>43103</v>
      </c>
      <c r="L228" s="31">
        <f>37823</f>
        <v>37823</v>
      </c>
      <c r="M228" s="26">
        <f>42854</f>
        <v>42854</v>
      </c>
      <c r="N228" s="26">
        <f>44180</f>
        <v>44180</v>
      </c>
      <c r="O228" s="26"/>
      <c r="P228" s="26"/>
      <c r="Q228" s="26"/>
      <c r="R228" s="53"/>
      <c r="S228" s="54"/>
    </row>
    <row r="229" spans="1:19" ht="13" customHeight="1">
      <c r="A229" s="24" t="s">
        <v>25</v>
      </c>
      <c r="B229" s="24" t="s">
        <v>165</v>
      </c>
      <c r="C229" s="26"/>
      <c r="D229" s="39" t="s">
        <v>166</v>
      </c>
      <c r="E229" s="25" t="s">
        <v>140</v>
      </c>
      <c r="F229" s="25"/>
      <c r="G229" s="25"/>
      <c r="H229" s="38"/>
      <c r="I229" s="52" t="s">
        <v>178</v>
      </c>
      <c r="J229" s="29" t="s">
        <v>226</v>
      </c>
      <c r="K229" s="30">
        <f>45546</f>
        <v>45546</v>
      </c>
      <c r="L229" s="31">
        <f>40523</f>
        <v>40523</v>
      </c>
      <c r="M229" s="26">
        <f>46254</f>
        <v>46254</v>
      </c>
      <c r="N229" s="26">
        <v>48480</v>
      </c>
      <c r="O229" s="26"/>
      <c r="P229" s="26"/>
      <c r="Q229" s="26"/>
      <c r="R229" s="53"/>
      <c r="S229" s="54"/>
    </row>
    <row r="230" spans="1:19" ht="13" customHeight="1">
      <c r="A230" s="24" t="s">
        <v>25</v>
      </c>
      <c r="B230" s="24" t="s">
        <v>165</v>
      </c>
      <c r="C230" s="26"/>
      <c r="D230" s="39" t="s">
        <v>166</v>
      </c>
      <c r="E230" s="25" t="s">
        <v>140</v>
      </c>
      <c r="F230" s="25"/>
      <c r="G230" s="25"/>
      <c r="H230" s="38"/>
      <c r="I230" s="52" t="s">
        <v>239</v>
      </c>
      <c r="J230" s="29" t="s">
        <v>226</v>
      </c>
      <c r="K230" s="30">
        <f>18170</f>
        <v>18170</v>
      </c>
      <c r="L230" s="31">
        <f>15500</f>
        <v>15500</v>
      </c>
      <c r="M230" s="26">
        <f>17600</f>
        <v>17600</v>
      </c>
      <c r="N230" s="26">
        <f>18700</f>
        <v>18700</v>
      </c>
      <c r="O230" s="26"/>
      <c r="P230" s="26"/>
      <c r="Q230" s="26"/>
      <c r="R230" s="53"/>
      <c r="S230" s="54"/>
    </row>
    <row r="231" spans="1:19" ht="13" customHeight="1">
      <c r="A231" s="24" t="s">
        <v>25</v>
      </c>
      <c r="B231" s="24" t="s">
        <v>165</v>
      </c>
      <c r="C231" s="26"/>
      <c r="D231" s="39" t="s">
        <v>166</v>
      </c>
      <c r="E231" s="25" t="s">
        <v>140</v>
      </c>
      <c r="F231" s="25"/>
      <c r="G231" s="25"/>
      <c r="H231" s="38"/>
      <c r="I231" s="52" t="s">
        <v>240</v>
      </c>
      <c r="J231" s="29" t="s">
        <v>226</v>
      </c>
      <c r="K231" s="30">
        <f>20613</f>
        <v>20613</v>
      </c>
      <c r="L231" s="31">
        <f>18200</f>
        <v>18200</v>
      </c>
      <c r="M231" s="26">
        <f>21000</f>
        <v>21000</v>
      </c>
      <c r="N231" s="26">
        <f>23000</f>
        <v>23000</v>
      </c>
      <c r="O231" s="26"/>
      <c r="P231" s="26"/>
      <c r="Q231" s="26"/>
      <c r="R231" s="53"/>
      <c r="S231" s="54"/>
    </row>
    <row r="232" spans="1:19" ht="13" customHeight="1">
      <c r="A232" s="24" t="s">
        <v>25</v>
      </c>
      <c r="B232" s="24" t="s">
        <v>165</v>
      </c>
      <c r="C232" s="26"/>
      <c r="D232" s="39" t="s">
        <v>166</v>
      </c>
      <c r="E232" s="25" t="s">
        <v>142</v>
      </c>
      <c r="F232" s="25"/>
      <c r="G232" s="25"/>
      <c r="H232" s="38"/>
      <c r="I232" s="51" t="s">
        <v>237</v>
      </c>
      <c r="J232" s="29" t="s">
        <v>226</v>
      </c>
      <c r="K232" s="30">
        <f>53492</f>
        <v>53492</v>
      </c>
      <c r="L232" s="31">
        <f>54434</f>
        <v>54434</v>
      </c>
      <c r="M232" s="26">
        <f>55859</f>
        <v>55859</v>
      </c>
      <c r="N232" s="26">
        <f>56359</f>
        <v>56359</v>
      </c>
      <c r="O232" s="26"/>
      <c r="P232" s="26"/>
      <c r="Q232" s="26"/>
      <c r="R232" s="53"/>
      <c r="S232" s="54"/>
    </row>
    <row r="233" spans="1:19" ht="13" customHeight="1">
      <c r="A233" s="24" t="s">
        <v>25</v>
      </c>
      <c r="B233" s="24" t="s">
        <v>165</v>
      </c>
      <c r="C233" s="26"/>
      <c r="D233" s="39" t="s">
        <v>166</v>
      </c>
      <c r="E233" s="25" t="s">
        <v>142</v>
      </c>
      <c r="F233" s="25"/>
      <c r="G233" s="25"/>
      <c r="H233" s="38"/>
      <c r="I233" s="52" t="s">
        <v>238</v>
      </c>
      <c r="J233" s="29" t="s">
        <v>226</v>
      </c>
      <c r="K233" s="30">
        <f>43103</f>
        <v>43103</v>
      </c>
      <c r="L233" s="31">
        <f>42666</f>
        <v>42666</v>
      </c>
      <c r="M233" s="26">
        <f>49531</f>
        <v>49531</v>
      </c>
      <c r="N233" s="26">
        <f>51913</f>
        <v>51913</v>
      </c>
      <c r="O233" s="26"/>
      <c r="P233" s="26"/>
      <c r="Q233" s="26"/>
      <c r="R233" s="53"/>
      <c r="S233" s="54"/>
    </row>
    <row r="234" spans="1:19" ht="13" customHeight="1">
      <c r="A234" s="24" t="s">
        <v>25</v>
      </c>
      <c r="B234" s="24" t="s">
        <v>165</v>
      </c>
      <c r="C234" s="26"/>
      <c r="D234" s="39" t="s">
        <v>166</v>
      </c>
      <c r="E234" s="25" t="s">
        <v>142</v>
      </c>
      <c r="F234" s="25"/>
      <c r="G234" s="25"/>
      <c r="H234" s="38"/>
      <c r="I234" s="52" t="s">
        <v>241</v>
      </c>
      <c r="J234" s="29" t="s">
        <v>226</v>
      </c>
      <c r="K234" s="30">
        <f>45546</f>
        <v>45546</v>
      </c>
      <c r="L234" s="31">
        <f>45366</f>
        <v>45366</v>
      </c>
      <c r="M234" s="26">
        <f>53131</f>
        <v>53131</v>
      </c>
      <c r="N234" s="26">
        <f>56313</f>
        <v>56313</v>
      </c>
      <c r="O234" s="26"/>
      <c r="P234" s="26"/>
      <c r="Q234" s="26"/>
      <c r="R234" s="53"/>
      <c r="S234" s="54"/>
    </row>
    <row r="235" spans="1:19" ht="13" customHeight="1">
      <c r="A235" s="24" t="s">
        <v>25</v>
      </c>
      <c r="B235" s="24" t="s">
        <v>165</v>
      </c>
      <c r="C235" s="26"/>
      <c r="D235" s="39" t="s">
        <v>166</v>
      </c>
      <c r="E235" s="25" t="s">
        <v>142</v>
      </c>
      <c r="F235" s="25"/>
      <c r="G235" s="25"/>
      <c r="H235" s="38"/>
      <c r="I235" s="52" t="s">
        <v>239</v>
      </c>
      <c r="J235" s="29" t="s">
        <v>226</v>
      </c>
      <c r="K235" s="30">
        <f>18170</f>
        <v>18170</v>
      </c>
      <c r="L235" s="31">
        <f>19500</f>
        <v>19500</v>
      </c>
      <c r="M235" s="26">
        <f>22500</f>
        <v>22500</v>
      </c>
      <c r="N235" s="26">
        <v>23600</v>
      </c>
      <c r="O235" s="26"/>
      <c r="P235" s="26"/>
      <c r="Q235" s="26"/>
      <c r="R235" s="53"/>
      <c r="S235" s="54"/>
    </row>
    <row r="236" spans="1:19" ht="13" customHeight="1">
      <c r="A236" s="24" t="s">
        <v>25</v>
      </c>
      <c r="B236" s="24" t="s">
        <v>165</v>
      </c>
      <c r="C236" s="26"/>
      <c r="D236" s="39" t="s">
        <v>166</v>
      </c>
      <c r="E236" s="25" t="s">
        <v>142</v>
      </c>
      <c r="F236" s="25"/>
      <c r="G236" s="25"/>
      <c r="H236" s="38"/>
      <c r="I236" s="52" t="s">
        <v>240</v>
      </c>
      <c r="J236" s="29" t="s">
        <v>226</v>
      </c>
      <c r="K236" s="30">
        <f>20613</f>
        <v>20613</v>
      </c>
      <c r="L236" s="31">
        <f>22200</f>
        <v>22200</v>
      </c>
      <c r="M236" s="26">
        <f>26100</f>
        <v>26100</v>
      </c>
      <c r="N236" s="26">
        <f>28000</f>
        <v>28000</v>
      </c>
      <c r="O236" s="26"/>
      <c r="P236" s="26"/>
      <c r="Q236" s="26"/>
      <c r="R236" s="53"/>
      <c r="S236" s="54"/>
    </row>
    <row r="237" spans="1:19" ht="13" customHeight="1">
      <c r="A237" s="24" t="s">
        <v>25</v>
      </c>
      <c r="B237" s="24" t="s">
        <v>165</v>
      </c>
      <c r="C237" s="26"/>
      <c r="D237" s="39" t="s">
        <v>166</v>
      </c>
      <c r="E237" s="25" t="s">
        <v>140</v>
      </c>
      <c r="F237" s="25"/>
      <c r="G237" s="25"/>
      <c r="H237" s="38"/>
      <c r="I237" s="48" t="s">
        <v>242</v>
      </c>
      <c r="J237" s="29" t="s">
        <v>100</v>
      </c>
      <c r="K237" s="30">
        <f>7403.7</f>
        <v>7403.7</v>
      </c>
      <c r="L237" s="31">
        <f>10057.7</f>
        <v>10057.700000000001</v>
      </c>
      <c r="M237" s="26">
        <f>17257.7</f>
        <v>17257.7</v>
      </c>
      <c r="N237" s="26">
        <f>17257.7</f>
        <v>17257.7</v>
      </c>
      <c r="O237" s="26"/>
      <c r="P237" s="26"/>
      <c r="Q237" s="26"/>
      <c r="R237" s="53"/>
      <c r="S237" s="54"/>
    </row>
    <row r="238" spans="1:19" ht="13" customHeight="1">
      <c r="A238" s="24" t="s">
        <v>25</v>
      </c>
      <c r="B238" s="24" t="s">
        <v>165</v>
      </c>
      <c r="C238" s="26"/>
      <c r="D238" s="39" t="s">
        <v>166</v>
      </c>
      <c r="E238" s="25" t="s">
        <v>140</v>
      </c>
      <c r="F238" s="25"/>
      <c r="G238" s="25"/>
      <c r="H238" s="38"/>
      <c r="I238" s="28" t="s">
        <v>125</v>
      </c>
      <c r="J238" s="29" t="s">
        <v>100</v>
      </c>
      <c r="K238" s="30">
        <f>5508.8</f>
        <v>5508.8</v>
      </c>
      <c r="L238" s="31">
        <f>9496.5</f>
        <v>9496.5</v>
      </c>
      <c r="M238" s="26">
        <f>17171.5</f>
        <v>17171.5</v>
      </c>
      <c r="N238" s="26">
        <f>17171.5</f>
        <v>17171.5</v>
      </c>
      <c r="O238" s="26"/>
      <c r="P238" s="26"/>
      <c r="Q238" s="26"/>
      <c r="R238" s="53"/>
      <c r="S238" s="54"/>
    </row>
    <row r="239" spans="1:19" ht="13" customHeight="1">
      <c r="A239" s="24" t="s">
        <v>25</v>
      </c>
      <c r="B239" s="24" t="s">
        <v>165</v>
      </c>
      <c r="C239" s="26"/>
      <c r="D239" s="39" t="s">
        <v>166</v>
      </c>
      <c r="E239" s="25" t="s">
        <v>140</v>
      </c>
      <c r="F239" s="25"/>
      <c r="G239" s="25"/>
      <c r="H239" s="38"/>
      <c r="I239" s="28" t="s">
        <v>243</v>
      </c>
      <c r="J239" s="29" t="s">
        <v>100</v>
      </c>
      <c r="K239" s="30">
        <f>5556.6</f>
        <v>5556.6</v>
      </c>
      <c r="L239" s="31">
        <f>6570.4</f>
        <v>6570.4</v>
      </c>
      <c r="M239" s="26">
        <f>7948.3</f>
        <v>7948.3</v>
      </c>
      <c r="N239" s="26">
        <f>9353.3</f>
        <v>9353.2999999999993</v>
      </c>
      <c r="O239" s="26"/>
      <c r="P239" s="26"/>
      <c r="Q239" s="26"/>
      <c r="R239" s="53"/>
      <c r="S239" s="54"/>
    </row>
    <row r="240" spans="1:19" ht="13" customHeight="1">
      <c r="A240" s="24" t="s">
        <v>25</v>
      </c>
      <c r="B240" s="24" t="s">
        <v>165</v>
      </c>
      <c r="C240" s="26"/>
      <c r="D240" s="39" t="s">
        <v>166</v>
      </c>
      <c r="E240" s="25" t="s">
        <v>140</v>
      </c>
      <c r="F240" s="25"/>
      <c r="G240" s="25"/>
      <c r="H240" s="38"/>
      <c r="I240" s="28" t="s">
        <v>244</v>
      </c>
      <c r="J240" s="29" t="s">
        <v>100</v>
      </c>
      <c r="K240" s="30">
        <f>-17.8</f>
        <v>-17.8</v>
      </c>
      <c r="L240" s="31">
        <f>2926.1</f>
        <v>2926.1</v>
      </c>
      <c r="M240" s="26">
        <f>9223.2</f>
        <v>9223.2000000000007</v>
      </c>
      <c r="N240" s="26">
        <v>7818.2</v>
      </c>
      <c r="O240" s="26"/>
      <c r="P240" s="26"/>
      <c r="Q240" s="26"/>
      <c r="R240" s="53"/>
      <c r="S240" s="54"/>
    </row>
    <row r="241" spans="1:19" ht="13" customHeight="1">
      <c r="A241" s="24" t="s">
        <v>25</v>
      </c>
      <c r="B241" s="24" t="s">
        <v>165</v>
      </c>
      <c r="C241" s="26"/>
      <c r="D241" s="39" t="s">
        <v>166</v>
      </c>
      <c r="E241" s="25" t="s">
        <v>142</v>
      </c>
      <c r="F241" s="25"/>
      <c r="G241" s="25"/>
      <c r="H241" s="38"/>
      <c r="I241" s="48" t="s">
        <v>242</v>
      </c>
      <c r="J241" s="29" t="s">
        <v>100</v>
      </c>
      <c r="K241" s="30">
        <f>7403.7</f>
        <v>7403.7</v>
      </c>
      <c r="L241" s="31">
        <f>11389.7</f>
        <v>11389.7</v>
      </c>
      <c r="M241" s="26">
        <f>20607.7</f>
        <v>20607.7</v>
      </c>
      <c r="N241" s="26">
        <f>20607.7</f>
        <v>20607.7</v>
      </c>
      <c r="O241" s="26"/>
      <c r="P241" s="26"/>
      <c r="Q241" s="26"/>
      <c r="R241" s="53"/>
      <c r="S241" s="54"/>
    </row>
    <row r="242" spans="1:19" ht="13" customHeight="1">
      <c r="A242" s="24" t="s">
        <v>25</v>
      </c>
      <c r="B242" s="24" t="s">
        <v>165</v>
      </c>
      <c r="C242" s="26"/>
      <c r="D242" s="39" t="s">
        <v>166</v>
      </c>
      <c r="E242" s="25" t="s">
        <v>142</v>
      </c>
      <c r="F242" s="25"/>
      <c r="G242" s="25"/>
      <c r="H242" s="38"/>
      <c r="I242" s="28" t="s">
        <v>125</v>
      </c>
      <c r="J242" s="29" t="s">
        <v>100</v>
      </c>
      <c r="K242" s="30">
        <f>5508.8</f>
        <v>5508.8</v>
      </c>
      <c r="L242" s="31">
        <f>10186.1</f>
        <v>10186.1</v>
      </c>
      <c r="M242" s="26">
        <f>20546.5</f>
        <v>20546.5</v>
      </c>
      <c r="N242" s="26">
        <f>20546.5</f>
        <v>20546.5</v>
      </c>
      <c r="O242" s="26"/>
      <c r="P242" s="26"/>
      <c r="Q242" s="26"/>
      <c r="R242" s="53"/>
      <c r="S242" s="54"/>
    </row>
    <row r="243" spans="1:19" ht="13" customHeight="1">
      <c r="A243" s="24" t="s">
        <v>25</v>
      </c>
      <c r="B243" s="24" t="s">
        <v>165</v>
      </c>
      <c r="C243" s="26"/>
      <c r="D243" s="39" t="s">
        <v>166</v>
      </c>
      <c r="E243" s="25" t="s">
        <v>142</v>
      </c>
      <c r="F243" s="25"/>
      <c r="G243" s="25"/>
      <c r="H243" s="38"/>
      <c r="I243" s="28" t="s">
        <v>245</v>
      </c>
      <c r="J243" s="29" t="s">
        <v>100</v>
      </c>
      <c r="K243" s="30">
        <f>5556.6</f>
        <v>5556.6</v>
      </c>
      <c r="L243" s="31">
        <f>6761.9</f>
        <v>6761.9</v>
      </c>
      <c r="M243" s="34">
        <f>8684</f>
        <v>8684</v>
      </c>
      <c r="N243" s="26">
        <f>10745.8</f>
        <v>10745.8</v>
      </c>
      <c r="O243" s="26"/>
      <c r="P243" s="26"/>
      <c r="Q243" s="26"/>
      <c r="R243" s="53"/>
      <c r="S243" s="54"/>
    </row>
    <row r="244" spans="1:19" ht="13" customHeight="1">
      <c r="A244" s="24" t="s">
        <v>25</v>
      </c>
      <c r="B244" s="24" t="s">
        <v>165</v>
      </c>
      <c r="C244" s="26"/>
      <c r="D244" s="39" t="s">
        <v>166</v>
      </c>
      <c r="E244" s="25" t="s">
        <v>142</v>
      </c>
      <c r="F244" s="25"/>
      <c r="G244" s="25"/>
      <c r="H244" s="38"/>
      <c r="I244" s="28" t="s">
        <v>244</v>
      </c>
      <c r="J244" s="29" t="s">
        <v>100</v>
      </c>
      <c r="K244" s="30">
        <f>-17.8</f>
        <v>-17.8</v>
      </c>
      <c r="L244" s="31">
        <f>3424.6</f>
        <v>3424.6</v>
      </c>
      <c r="M244" s="26">
        <f>11862.5</f>
        <v>11862.5</v>
      </c>
      <c r="N244" s="26">
        <f>9800.7</f>
        <v>9800.7000000000007</v>
      </c>
      <c r="O244" s="26"/>
      <c r="P244" s="26"/>
      <c r="Q244" s="26"/>
      <c r="R244" s="53"/>
      <c r="S244" s="54"/>
    </row>
    <row r="245" spans="1:19" ht="13" customHeight="1">
      <c r="A245" s="24" t="s">
        <v>25</v>
      </c>
      <c r="B245" s="24" t="s">
        <v>165</v>
      </c>
      <c r="C245" s="26"/>
      <c r="D245" s="39" t="s">
        <v>166</v>
      </c>
      <c r="E245" s="25" t="s">
        <v>140</v>
      </c>
      <c r="F245" s="25"/>
      <c r="G245" s="25"/>
      <c r="H245" s="38"/>
      <c r="I245" s="48" t="s">
        <v>246</v>
      </c>
      <c r="J245" s="29" t="s">
        <v>100</v>
      </c>
      <c r="K245" s="30">
        <f>3374.7</f>
        <v>3374.7</v>
      </c>
      <c r="L245" s="31">
        <f>5354.7</f>
        <v>5354.7</v>
      </c>
      <c r="M245" s="26">
        <f>10754.7</f>
        <v>10754.7</v>
      </c>
      <c r="N245" s="26">
        <f>10754.7</f>
        <v>10754.7</v>
      </c>
      <c r="O245" s="26"/>
      <c r="P245" s="26"/>
      <c r="Q245" s="26"/>
      <c r="R245" s="53"/>
      <c r="S245" s="54"/>
    </row>
    <row r="246" spans="1:19" ht="13" customHeight="1">
      <c r="A246" s="24" t="s">
        <v>25</v>
      </c>
      <c r="B246" s="24" t="s">
        <v>165</v>
      </c>
      <c r="C246" s="26"/>
      <c r="D246" s="39" t="s">
        <v>166</v>
      </c>
      <c r="E246" s="25" t="s">
        <v>140</v>
      </c>
      <c r="F246" s="25"/>
      <c r="G246" s="25"/>
      <c r="H246" s="38"/>
      <c r="I246" s="28" t="s">
        <v>126</v>
      </c>
      <c r="J246" s="29" t="s">
        <v>100</v>
      </c>
      <c r="K246" s="30">
        <f>1864.3</f>
        <v>1864.3</v>
      </c>
      <c r="L246" s="55">
        <v>4934</v>
      </c>
      <c r="M246" s="34">
        <f>10705</f>
        <v>10705</v>
      </c>
      <c r="N246" s="34">
        <f>10705</f>
        <v>10705</v>
      </c>
      <c r="O246" s="26"/>
      <c r="P246" s="26"/>
      <c r="Q246" s="26"/>
      <c r="R246" s="53"/>
      <c r="S246" s="54"/>
    </row>
    <row r="247" spans="1:19" ht="13" customHeight="1">
      <c r="A247" s="24" t="s">
        <v>25</v>
      </c>
      <c r="B247" s="24" t="s">
        <v>165</v>
      </c>
      <c r="C247" s="26"/>
      <c r="D247" s="39" t="s">
        <v>166</v>
      </c>
      <c r="E247" s="25" t="s">
        <v>140</v>
      </c>
      <c r="F247" s="25"/>
      <c r="G247" s="25"/>
      <c r="H247" s="38"/>
      <c r="I247" s="28" t="s">
        <v>247</v>
      </c>
      <c r="J247" s="29" t="s">
        <v>100</v>
      </c>
      <c r="K247" s="30">
        <f>2123.8</f>
        <v>2123.8000000000002</v>
      </c>
      <c r="L247" s="55">
        <f>2570</f>
        <v>2570</v>
      </c>
      <c r="M247" s="26">
        <f>3059.6</f>
        <v>3059.6</v>
      </c>
      <c r="N247" s="26">
        <f>3555.2</f>
        <v>3555.2</v>
      </c>
      <c r="O247" s="26"/>
      <c r="P247" s="26"/>
      <c r="Q247" s="26"/>
      <c r="R247" s="53"/>
      <c r="S247" s="54"/>
    </row>
    <row r="248" spans="1:19" ht="13" customHeight="1">
      <c r="A248" s="24" t="s">
        <v>25</v>
      </c>
      <c r="B248" s="24" t="s">
        <v>165</v>
      </c>
      <c r="C248" s="26"/>
      <c r="D248" s="39" t="s">
        <v>166</v>
      </c>
      <c r="E248" s="25" t="s">
        <v>140</v>
      </c>
      <c r="F248" s="25"/>
      <c r="G248" s="25"/>
      <c r="H248" s="38"/>
      <c r="I248" s="28" t="s">
        <v>248</v>
      </c>
      <c r="J248" s="29" t="s">
        <v>100</v>
      </c>
      <c r="K248" s="30">
        <f>-259.5</f>
        <v>-259.5</v>
      </c>
      <c r="L248" s="55">
        <f>2364</f>
        <v>2364</v>
      </c>
      <c r="M248" s="26">
        <f>7645.4</f>
        <v>7645.4</v>
      </c>
      <c r="N248" s="26">
        <v>7149.8</v>
      </c>
      <c r="O248" s="26"/>
      <c r="P248" s="26"/>
      <c r="Q248" s="26"/>
      <c r="R248" s="53"/>
      <c r="S248" s="54"/>
    </row>
    <row r="249" spans="1:19" ht="13" customHeight="1">
      <c r="A249" s="24" t="s">
        <v>25</v>
      </c>
      <c r="B249" s="24" t="s">
        <v>165</v>
      </c>
      <c r="C249" s="26"/>
      <c r="D249" s="39" t="s">
        <v>166</v>
      </c>
      <c r="E249" s="25" t="s">
        <v>142</v>
      </c>
      <c r="F249" s="25"/>
      <c r="G249" s="25"/>
      <c r="H249" s="38"/>
      <c r="I249" s="48" t="s">
        <v>246</v>
      </c>
      <c r="J249" s="29" t="s">
        <v>100</v>
      </c>
      <c r="K249" s="30">
        <f>3374.7</f>
        <v>3374.7</v>
      </c>
      <c r="L249" s="31">
        <f>5754.7</f>
        <v>5754.7</v>
      </c>
      <c r="M249" s="26">
        <f>12502.7</f>
        <v>12502.7</v>
      </c>
      <c r="N249" s="26">
        <f>12502.7</f>
        <v>12502.7</v>
      </c>
      <c r="O249" s="26"/>
      <c r="P249" s="26"/>
      <c r="Q249" s="26"/>
      <c r="R249" s="53"/>
      <c r="S249" s="54"/>
    </row>
    <row r="250" spans="1:19" ht="13" customHeight="1">
      <c r="A250" s="24" t="s">
        <v>25</v>
      </c>
      <c r="B250" s="24" t="s">
        <v>165</v>
      </c>
      <c r="C250" s="26"/>
      <c r="D250" s="39" t="s">
        <v>166</v>
      </c>
      <c r="E250" s="25" t="s">
        <v>142</v>
      </c>
      <c r="F250" s="25"/>
      <c r="G250" s="25"/>
      <c r="H250" s="38"/>
      <c r="I250" s="28" t="s">
        <v>126</v>
      </c>
      <c r="J250" s="29" t="s">
        <v>100</v>
      </c>
      <c r="K250" s="30">
        <f>1864.3</f>
        <v>1864.3</v>
      </c>
      <c r="L250" s="31">
        <f>5189</f>
        <v>5189</v>
      </c>
      <c r="M250" s="26">
        <f>12483</f>
        <v>12483</v>
      </c>
      <c r="N250" s="26">
        <f>12483</f>
        <v>12483</v>
      </c>
      <c r="O250" s="26"/>
      <c r="P250" s="26"/>
      <c r="Q250" s="26"/>
      <c r="R250" s="53"/>
      <c r="S250" s="54"/>
    </row>
    <row r="251" spans="1:19" ht="13" customHeight="1">
      <c r="A251" s="24" t="s">
        <v>25</v>
      </c>
      <c r="B251" s="24" t="s">
        <v>165</v>
      </c>
      <c r="C251" s="26"/>
      <c r="D251" s="39" t="s">
        <v>166</v>
      </c>
      <c r="E251" s="25" t="s">
        <v>142</v>
      </c>
      <c r="F251" s="25"/>
      <c r="G251" s="25"/>
      <c r="H251" s="38"/>
      <c r="I251" s="28" t="s">
        <v>247</v>
      </c>
      <c r="J251" s="29" t="s">
        <v>100</v>
      </c>
      <c r="K251" s="30">
        <f>2123.8</f>
        <v>2123.8000000000002</v>
      </c>
      <c r="L251" s="31">
        <f>2638.7</f>
        <v>2638.7</v>
      </c>
      <c r="M251" s="34">
        <f>3327.9</f>
        <v>3327.9</v>
      </c>
      <c r="N251" s="26">
        <f>4064.5</f>
        <v>4064.5</v>
      </c>
      <c r="O251" s="26"/>
      <c r="P251" s="26"/>
      <c r="Q251" s="26"/>
      <c r="R251" s="53"/>
      <c r="S251" s="54"/>
    </row>
    <row r="252" spans="1:19" ht="13" customHeight="1">
      <c r="A252" s="24" t="s">
        <v>25</v>
      </c>
      <c r="B252" s="24" t="s">
        <v>165</v>
      </c>
      <c r="C252" s="26"/>
      <c r="D252" s="39" t="s">
        <v>166</v>
      </c>
      <c r="E252" s="25" t="s">
        <v>142</v>
      </c>
      <c r="F252" s="25"/>
      <c r="G252" s="25"/>
      <c r="H252" s="38"/>
      <c r="I252" s="28" t="s">
        <v>248</v>
      </c>
      <c r="J252" s="29" t="s">
        <v>100</v>
      </c>
      <c r="K252" s="30">
        <f>-259.5</f>
        <v>-259.5</v>
      </c>
      <c r="L252" s="31">
        <f>2550.3</f>
        <v>2550.3000000000002</v>
      </c>
      <c r="M252" s="26">
        <f>9155.1</f>
        <v>9155.1</v>
      </c>
      <c r="N252" s="26">
        <f>8418.5</f>
        <v>8418.5</v>
      </c>
      <c r="O252" s="26"/>
      <c r="P252" s="26"/>
      <c r="Q252" s="26"/>
      <c r="R252" s="53"/>
      <c r="S252" s="54"/>
    </row>
    <row r="253" spans="1:19" ht="13" customHeight="1">
      <c r="A253" s="24" t="s">
        <v>25</v>
      </c>
      <c r="B253" s="24" t="s">
        <v>165</v>
      </c>
      <c r="C253" s="26"/>
      <c r="D253" s="39" t="s">
        <v>166</v>
      </c>
      <c r="E253" s="25" t="s">
        <v>140</v>
      </c>
      <c r="F253" s="25"/>
      <c r="G253" s="25"/>
      <c r="H253" s="38"/>
      <c r="I253" s="48" t="s">
        <v>249</v>
      </c>
      <c r="J253" s="29" t="s">
        <v>100</v>
      </c>
      <c r="K253" s="30">
        <f>1685.5</f>
        <v>1685.5</v>
      </c>
      <c r="L253" s="31">
        <f t="shared" ref="L253:N253" si="0">1802.5</f>
        <v>1802.5</v>
      </c>
      <c r="M253" s="26">
        <f t="shared" si="0"/>
        <v>1802.5</v>
      </c>
      <c r="N253" s="26">
        <f t="shared" si="0"/>
        <v>1802.5</v>
      </c>
      <c r="O253" s="26"/>
      <c r="P253" s="26"/>
      <c r="Q253" s="26"/>
      <c r="R253" s="53"/>
      <c r="S253" s="54"/>
    </row>
    <row r="254" spans="1:19" ht="13" customHeight="1">
      <c r="A254" s="24" t="s">
        <v>25</v>
      </c>
      <c r="B254" s="24" t="s">
        <v>165</v>
      </c>
      <c r="C254" s="26"/>
      <c r="D254" s="39" t="s">
        <v>166</v>
      </c>
      <c r="E254" s="25" t="s">
        <v>140</v>
      </c>
      <c r="F254" s="25"/>
      <c r="G254" s="25"/>
      <c r="H254" s="38"/>
      <c r="I254" s="28" t="s">
        <v>250</v>
      </c>
      <c r="J254" s="29" t="s">
        <v>100</v>
      </c>
      <c r="K254" s="30">
        <f>1339.6</f>
        <v>1339.6</v>
      </c>
      <c r="L254" s="55">
        <f>1512.7</f>
        <v>1512.7</v>
      </c>
      <c r="M254" s="34">
        <f>1596.2</f>
        <v>1596.2</v>
      </c>
      <c r="N254" s="34">
        <f>1596.2</f>
        <v>1596.2</v>
      </c>
      <c r="O254" s="26"/>
      <c r="P254" s="26"/>
      <c r="Q254" s="26"/>
      <c r="R254" s="53"/>
      <c r="S254" s="54"/>
    </row>
    <row r="255" spans="1:19" ht="13" customHeight="1">
      <c r="A255" s="24" t="s">
        <v>25</v>
      </c>
      <c r="B255" s="24" t="s">
        <v>165</v>
      </c>
      <c r="C255" s="26"/>
      <c r="D255" s="39" t="s">
        <v>166</v>
      </c>
      <c r="E255" s="25" t="s">
        <v>140</v>
      </c>
      <c r="F255" s="25"/>
      <c r="G255" s="25"/>
      <c r="H255" s="38"/>
      <c r="I255" s="28" t="s">
        <v>251</v>
      </c>
      <c r="J255" s="29" t="s">
        <v>100</v>
      </c>
      <c r="K255" s="30">
        <f>442.9</f>
        <v>442.9</v>
      </c>
      <c r="L255" s="55">
        <f>476.9</f>
        <v>476.9</v>
      </c>
      <c r="M255" s="26">
        <f>588.8</f>
        <v>588.79999999999995</v>
      </c>
      <c r="N255" s="26">
        <f>696.3</f>
        <v>696.3</v>
      </c>
      <c r="O255" s="26"/>
      <c r="P255" s="26"/>
      <c r="Q255" s="26"/>
      <c r="R255" s="53"/>
      <c r="S255" s="54"/>
    </row>
    <row r="256" spans="1:19" ht="13" customHeight="1">
      <c r="A256" s="24" t="s">
        <v>25</v>
      </c>
      <c r="B256" s="24" t="s">
        <v>165</v>
      </c>
      <c r="C256" s="26"/>
      <c r="D256" s="39" t="s">
        <v>166</v>
      </c>
      <c r="E256" s="25" t="s">
        <v>140</v>
      </c>
      <c r="F256" s="25"/>
      <c r="G256" s="25"/>
      <c r="H256" s="38"/>
      <c r="I256" s="28" t="s">
        <v>252</v>
      </c>
      <c r="J256" s="29" t="s">
        <v>100</v>
      </c>
      <c r="K256" s="30">
        <f>896.7</f>
        <v>896.7</v>
      </c>
      <c r="L256" s="55">
        <f>1035.8</f>
        <v>1035.8</v>
      </c>
      <c r="M256" s="26">
        <f>1007.4</f>
        <v>1007.4</v>
      </c>
      <c r="N256" s="26">
        <f>899.9</f>
        <v>899.9</v>
      </c>
      <c r="O256" s="26"/>
      <c r="P256" s="26"/>
      <c r="Q256" s="26"/>
      <c r="R256" s="53"/>
      <c r="S256" s="54"/>
    </row>
    <row r="257" spans="1:19" ht="13" customHeight="1">
      <c r="A257" s="24" t="s">
        <v>25</v>
      </c>
      <c r="B257" s="24" t="s">
        <v>165</v>
      </c>
      <c r="C257" s="26"/>
      <c r="D257" s="39" t="s">
        <v>166</v>
      </c>
      <c r="E257" s="25" t="s">
        <v>142</v>
      </c>
      <c r="F257" s="25"/>
      <c r="G257" s="25"/>
      <c r="H257" s="38"/>
      <c r="I257" s="48" t="s">
        <v>249</v>
      </c>
      <c r="J257" s="29" t="s">
        <v>100</v>
      </c>
      <c r="K257" s="30">
        <f>1685.5</f>
        <v>1685.5</v>
      </c>
      <c r="L257" s="31">
        <f t="shared" ref="L257" si="1">1802.5</f>
        <v>1802.5</v>
      </c>
      <c r="M257" s="26">
        <f>1902.5</f>
        <v>1902.5</v>
      </c>
      <c r="N257" s="26">
        <f>1902.5</f>
        <v>1902.5</v>
      </c>
      <c r="O257" s="26"/>
      <c r="P257" s="26"/>
      <c r="Q257" s="26"/>
      <c r="R257" s="53"/>
      <c r="S257" s="54"/>
    </row>
    <row r="258" spans="1:19" ht="13" customHeight="1">
      <c r="A258" s="24" t="s">
        <v>25</v>
      </c>
      <c r="B258" s="24" t="s">
        <v>165</v>
      </c>
      <c r="C258" s="26"/>
      <c r="D258" s="39" t="s">
        <v>166</v>
      </c>
      <c r="E258" s="25" t="s">
        <v>142</v>
      </c>
      <c r="F258" s="25"/>
      <c r="G258" s="25"/>
      <c r="H258" s="38"/>
      <c r="I258" s="28" t="s">
        <v>250</v>
      </c>
      <c r="J258" s="29" t="s">
        <v>100</v>
      </c>
      <c r="K258" s="30">
        <f>1339.6</f>
        <v>1339.6</v>
      </c>
      <c r="L258" s="31">
        <f>1512.7</f>
        <v>1512.7</v>
      </c>
      <c r="M258" s="26">
        <f>1646.2</f>
        <v>1646.2</v>
      </c>
      <c r="N258" s="26">
        <f>1696.2</f>
        <v>1696.2</v>
      </c>
      <c r="O258" s="26"/>
      <c r="P258" s="26"/>
      <c r="Q258" s="26"/>
      <c r="R258" s="53"/>
      <c r="S258" s="54"/>
    </row>
    <row r="259" spans="1:19" ht="13" customHeight="1">
      <c r="A259" s="24" t="s">
        <v>25</v>
      </c>
      <c r="B259" s="24" t="s">
        <v>165</v>
      </c>
      <c r="C259" s="26"/>
      <c r="D259" s="39" t="s">
        <v>166</v>
      </c>
      <c r="E259" s="25" t="s">
        <v>142</v>
      </c>
      <c r="F259" s="25"/>
      <c r="G259" s="25"/>
      <c r="H259" s="38"/>
      <c r="I259" s="28" t="s">
        <v>251</v>
      </c>
      <c r="J259" s="29" t="s">
        <v>100</v>
      </c>
      <c r="K259" s="30">
        <f>442.9</f>
        <v>442.9</v>
      </c>
      <c r="L259" s="31">
        <f>481.9</f>
        <v>481.9</v>
      </c>
      <c r="M259" s="34">
        <f>606.4</f>
        <v>606.4</v>
      </c>
      <c r="N259" s="26">
        <f>728.3</f>
        <v>728.3</v>
      </c>
      <c r="O259" s="26"/>
      <c r="P259" s="26"/>
      <c r="Q259" s="26"/>
      <c r="R259" s="53"/>
      <c r="S259" s="54"/>
    </row>
    <row r="260" spans="1:19" ht="13" customHeight="1">
      <c r="A260" s="24" t="s">
        <v>25</v>
      </c>
      <c r="B260" s="24" t="s">
        <v>165</v>
      </c>
      <c r="C260" s="26"/>
      <c r="D260" s="39" t="s">
        <v>166</v>
      </c>
      <c r="E260" s="25" t="s">
        <v>142</v>
      </c>
      <c r="F260" s="25"/>
      <c r="G260" s="25"/>
      <c r="H260" s="38"/>
      <c r="I260" s="28" t="s">
        <v>252</v>
      </c>
      <c r="J260" s="29" t="s">
        <v>100</v>
      </c>
      <c r="K260" s="30">
        <f>896.7</f>
        <v>896.7</v>
      </c>
      <c r="L260" s="31">
        <f>1030.8</f>
        <v>1030.8</v>
      </c>
      <c r="M260" s="26">
        <f>1039.8</f>
        <v>1039.8</v>
      </c>
      <c r="N260" s="26">
        <f>967.9</f>
        <v>967.9</v>
      </c>
      <c r="O260" s="26"/>
      <c r="P260" s="26"/>
      <c r="Q260" s="26"/>
      <c r="R260" s="53"/>
      <c r="S260" s="54"/>
    </row>
    <row r="261" spans="1:19" ht="13" customHeight="1">
      <c r="A261" s="24" t="s">
        <v>253</v>
      </c>
      <c r="B261" s="24" t="s">
        <v>254</v>
      </c>
      <c r="C261" s="25" t="s">
        <v>255</v>
      </c>
      <c r="D261" s="25" t="s">
        <v>256</v>
      </c>
      <c r="E261" s="25" t="s">
        <v>257</v>
      </c>
      <c r="F261" s="25" t="s">
        <v>258</v>
      </c>
      <c r="G261" s="25" t="s">
        <v>259</v>
      </c>
      <c r="H261" s="38"/>
      <c r="I261" s="56" t="s">
        <v>260</v>
      </c>
      <c r="J261" s="36" t="s">
        <v>98</v>
      </c>
      <c r="K261" s="37"/>
      <c r="L261" s="57"/>
      <c r="M261" s="26"/>
      <c r="N261" s="58">
        <f t="shared" ref="N261:P261" si="2">0.015</f>
        <v>1.4999999999999999E-2</v>
      </c>
      <c r="O261" s="58">
        <f t="shared" si="2"/>
        <v>1.4999999999999999E-2</v>
      </c>
      <c r="P261" s="58">
        <f t="shared" si="2"/>
        <v>1.4999999999999999E-2</v>
      </c>
      <c r="Q261" s="58">
        <f>0.01</f>
        <v>0.01</v>
      </c>
      <c r="R261" s="53"/>
      <c r="S261" s="54"/>
    </row>
    <row r="262" spans="1:19" ht="13" customHeight="1">
      <c r="A262" s="24" t="s">
        <v>253</v>
      </c>
      <c r="B262" s="24" t="s">
        <v>254</v>
      </c>
      <c r="C262" s="25" t="s">
        <v>255</v>
      </c>
      <c r="D262" s="25" t="s">
        <v>256</v>
      </c>
      <c r="E262" s="24" t="s">
        <v>263</v>
      </c>
      <c r="F262" s="24" t="s">
        <v>264</v>
      </c>
      <c r="G262" s="25" t="s">
        <v>265</v>
      </c>
      <c r="H262" s="38"/>
      <c r="I262" s="56" t="s">
        <v>260</v>
      </c>
      <c r="J262" s="36" t="s">
        <v>98</v>
      </c>
      <c r="K262" s="37"/>
      <c r="L262" s="57"/>
      <c r="M262" s="26"/>
      <c r="N262" s="58">
        <f t="shared" ref="N262:P262" si="3">0.03</f>
        <v>0.03</v>
      </c>
      <c r="O262" s="58">
        <f t="shared" si="3"/>
        <v>0.03</v>
      </c>
      <c r="P262" s="58">
        <f t="shared" si="3"/>
        <v>0.03</v>
      </c>
      <c r="Q262" s="58">
        <f>0.028</f>
        <v>2.8000000000000001E-2</v>
      </c>
      <c r="R262" s="53"/>
      <c r="S262" s="54"/>
    </row>
    <row r="263" spans="1:19" ht="13" customHeight="1">
      <c r="A263" s="24" t="s">
        <v>261</v>
      </c>
      <c r="B263" s="24" t="s">
        <v>254</v>
      </c>
      <c r="C263" s="59"/>
      <c r="D263" s="39" t="s">
        <v>262</v>
      </c>
      <c r="E263" s="24" t="s">
        <v>263</v>
      </c>
      <c r="F263" s="24" t="s">
        <v>264</v>
      </c>
      <c r="G263" s="25" t="s">
        <v>265</v>
      </c>
      <c r="H263" s="38"/>
      <c r="I263" s="56" t="s">
        <v>429</v>
      </c>
      <c r="J263" s="36" t="s">
        <v>430</v>
      </c>
      <c r="K263" s="37">
        <f>-535</f>
        <v>-535</v>
      </c>
      <c r="L263" s="31">
        <f>-602</f>
        <v>-602</v>
      </c>
      <c r="M263" s="26">
        <f>-573</f>
        <v>-573</v>
      </c>
      <c r="N263" s="26"/>
      <c r="O263" s="26"/>
      <c r="P263" s="26"/>
      <c r="Q263" s="59"/>
      <c r="R263" s="53"/>
      <c r="S263" s="54"/>
    </row>
    <row r="264" spans="1:19" ht="13" customHeight="1">
      <c r="A264" s="24" t="s">
        <v>261</v>
      </c>
      <c r="B264" s="24" t="s">
        <v>254</v>
      </c>
      <c r="C264" s="59"/>
      <c r="D264" s="39" t="s">
        <v>262</v>
      </c>
      <c r="E264" s="24" t="s">
        <v>296</v>
      </c>
      <c r="F264" s="24" t="s">
        <v>264</v>
      </c>
      <c r="G264" s="25" t="s">
        <v>265</v>
      </c>
      <c r="H264" s="38"/>
      <c r="I264" s="56" t="s">
        <v>431</v>
      </c>
      <c r="J264" s="60" t="s">
        <v>432</v>
      </c>
      <c r="K264" s="37">
        <f>1584</f>
        <v>1584</v>
      </c>
      <c r="L264" s="31">
        <f>1510</f>
        <v>1510</v>
      </c>
      <c r="M264" s="26">
        <f>1524</f>
        <v>1524</v>
      </c>
      <c r="N264" s="26"/>
      <c r="O264" s="26"/>
      <c r="P264" s="26"/>
      <c r="Q264" s="59"/>
      <c r="R264" s="53"/>
      <c r="S264" s="54"/>
    </row>
    <row r="265" spans="1:19" ht="15.65" customHeight="1">
      <c r="A265" s="24" t="s">
        <v>261</v>
      </c>
      <c r="B265" s="24" t="s">
        <v>254</v>
      </c>
      <c r="C265" s="59"/>
      <c r="D265" s="39" t="s">
        <v>262</v>
      </c>
      <c r="E265" s="24" t="s">
        <v>263</v>
      </c>
      <c r="F265" s="24" t="s">
        <v>264</v>
      </c>
      <c r="G265" s="25" t="s">
        <v>265</v>
      </c>
      <c r="H265" s="38"/>
      <c r="I265" s="50" t="s">
        <v>433</v>
      </c>
      <c r="J265" s="36" t="s">
        <v>267</v>
      </c>
      <c r="K265" s="37">
        <f>358.4</f>
        <v>358.4</v>
      </c>
      <c r="L265" s="31">
        <f>371</f>
        <v>371</v>
      </c>
      <c r="M265" s="26">
        <f>384.4</f>
        <v>384.4</v>
      </c>
      <c r="N265" s="59"/>
      <c r="O265" s="59"/>
      <c r="P265" s="59"/>
      <c r="Q265" s="59"/>
      <c r="R265" s="53"/>
      <c r="S265" s="54"/>
    </row>
    <row r="266" spans="1:19" ht="13" customHeight="1">
      <c r="A266" s="24" t="s">
        <v>261</v>
      </c>
      <c r="B266" s="24" t="s">
        <v>254</v>
      </c>
      <c r="C266" s="59"/>
      <c r="D266" s="39" t="s">
        <v>262</v>
      </c>
      <c r="E266" s="24" t="s">
        <v>263</v>
      </c>
      <c r="F266" s="24" t="s">
        <v>264</v>
      </c>
      <c r="G266" s="25" t="s">
        <v>265</v>
      </c>
      <c r="H266" s="38"/>
      <c r="I266" s="28" t="s">
        <v>268</v>
      </c>
      <c r="J266" s="61" t="s">
        <v>269</v>
      </c>
      <c r="K266" s="37">
        <f>6.8</f>
        <v>6.8</v>
      </c>
      <c r="L266" s="31">
        <f>6.1</f>
        <v>6.1</v>
      </c>
      <c r="M266" s="26">
        <f>5.1</f>
        <v>5.0999999999999996</v>
      </c>
      <c r="N266" s="59"/>
      <c r="O266" s="59"/>
      <c r="P266" s="59"/>
      <c r="Q266" s="59"/>
      <c r="R266" s="53"/>
      <c r="S266" s="54"/>
    </row>
    <row r="267" spans="1:19" ht="13" customHeight="1">
      <c r="A267" s="24" t="s">
        <v>261</v>
      </c>
      <c r="B267" s="24" t="s">
        <v>254</v>
      </c>
      <c r="C267" s="59"/>
      <c r="D267" s="39" t="s">
        <v>262</v>
      </c>
      <c r="E267" s="24" t="s">
        <v>263</v>
      </c>
      <c r="F267" s="24" t="s">
        <v>264</v>
      </c>
      <c r="G267" s="25" t="s">
        <v>265</v>
      </c>
      <c r="H267" s="38"/>
      <c r="I267" s="28" t="s">
        <v>434</v>
      </c>
      <c r="J267" s="29" t="s">
        <v>98</v>
      </c>
      <c r="K267" s="41">
        <f>1</f>
        <v>1</v>
      </c>
      <c r="L267" s="62">
        <f>0.89</f>
        <v>0.89</v>
      </c>
      <c r="M267" s="63">
        <f>0.75</f>
        <v>0.75</v>
      </c>
      <c r="N267" s="59"/>
      <c r="O267" s="59"/>
      <c r="P267" s="59"/>
      <c r="Q267" s="59"/>
      <c r="R267" s="53"/>
      <c r="S267" s="54"/>
    </row>
    <row r="268" spans="1:19" ht="13" customHeight="1">
      <c r="A268" s="24" t="s">
        <v>261</v>
      </c>
      <c r="B268" s="24" t="s">
        <v>254</v>
      </c>
      <c r="C268" s="59"/>
      <c r="D268" s="39" t="s">
        <v>262</v>
      </c>
      <c r="E268" s="24" t="s">
        <v>271</v>
      </c>
      <c r="F268" s="24" t="s">
        <v>264</v>
      </c>
      <c r="G268" s="25" t="s">
        <v>265</v>
      </c>
      <c r="H268" s="38"/>
      <c r="I268" s="52" t="s">
        <v>272</v>
      </c>
      <c r="J268" s="36" t="s">
        <v>267</v>
      </c>
      <c r="K268" s="37">
        <f>147</f>
        <v>147</v>
      </c>
      <c r="L268" s="64">
        <f>150</f>
        <v>150</v>
      </c>
      <c r="M268" s="65">
        <f>151</f>
        <v>151</v>
      </c>
      <c r="N268" s="66"/>
      <c r="O268" s="66"/>
      <c r="P268" s="66"/>
      <c r="Q268" s="66"/>
      <c r="R268" s="53"/>
      <c r="S268" s="54"/>
    </row>
    <row r="269" spans="1:19" ht="13" customHeight="1">
      <c r="A269" s="24" t="s">
        <v>261</v>
      </c>
      <c r="B269" s="24" t="s">
        <v>254</v>
      </c>
      <c r="C269" s="59"/>
      <c r="D269" s="39" t="s">
        <v>262</v>
      </c>
      <c r="E269" s="24" t="s">
        <v>263</v>
      </c>
      <c r="F269" s="24" t="s">
        <v>264</v>
      </c>
      <c r="G269" s="25" t="s">
        <v>265</v>
      </c>
      <c r="H269" s="38"/>
      <c r="I269" s="67" t="s">
        <v>273</v>
      </c>
      <c r="J269" s="36" t="s">
        <v>269</v>
      </c>
      <c r="K269" s="37">
        <f>18.7</f>
        <v>18.7</v>
      </c>
      <c r="L269" s="68">
        <f>18</f>
        <v>18</v>
      </c>
      <c r="M269" s="65">
        <f>17.1</f>
        <v>17.100000000000001</v>
      </c>
      <c r="N269" s="66"/>
      <c r="O269" s="66"/>
      <c r="P269" s="66"/>
      <c r="Q269" s="66"/>
      <c r="R269" s="53"/>
      <c r="S269" s="54"/>
    </row>
    <row r="270" spans="1:19" ht="13" customHeight="1">
      <c r="A270" s="24" t="s">
        <v>261</v>
      </c>
      <c r="B270" s="24" t="s">
        <v>254</v>
      </c>
      <c r="C270" s="59"/>
      <c r="D270" s="39" t="s">
        <v>262</v>
      </c>
      <c r="E270" s="24" t="s">
        <v>263</v>
      </c>
      <c r="F270" s="24" t="s">
        <v>264</v>
      </c>
      <c r="G270" s="25" t="s">
        <v>265</v>
      </c>
      <c r="H270" s="38"/>
      <c r="I270" s="52" t="s">
        <v>274</v>
      </c>
      <c r="J270" s="29" t="s">
        <v>98</v>
      </c>
      <c r="K270" s="41">
        <f>1</f>
        <v>1</v>
      </c>
      <c r="L270" s="62">
        <f>0.96</f>
        <v>0.96</v>
      </c>
      <c r="M270" s="63">
        <f>0.91</f>
        <v>0.91</v>
      </c>
      <c r="N270" s="66"/>
      <c r="O270" s="66"/>
      <c r="P270" s="66"/>
      <c r="Q270" s="66"/>
      <c r="R270" s="53"/>
      <c r="S270" s="54"/>
    </row>
    <row r="271" spans="1:19" ht="13" customHeight="1">
      <c r="A271" s="24" t="s">
        <v>261</v>
      </c>
      <c r="B271" s="24" t="s">
        <v>254</v>
      </c>
      <c r="C271" s="59"/>
      <c r="D271" s="39" t="s">
        <v>262</v>
      </c>
      <c r="E271" s="24" t="s">
        <v>263</v>
      </c>
      <c r="F271" s="24" t="s">
        <v>264</v>
      </c>
      <c r="G271" s="25" t="s">
        <v>265</v>
      </c>
      <c r="H271" s="38"/>
      <c r="I271" s="52" t="s">
        <v>273</v>
      </c>
      <c r="J271" s="36" t="s">
        <v>275</v>
      </c>
      <c r="K271" s="37">
        <f>1.94</f>
        <v>1.94</v>
      </c>
      <c r="L271" s="64">
        <f>1.87</f>
        <v>1.87</v>
      </c>
      <c r="M271" s="65">
        <f>1.77</f>
        <v>1.77</v>
      </c>
      <c r="N271" s="65"/>
      <c r="O271" s="65"/>
      <c r="P271" s="65"/>
      <c r="Q271" s="65"/>
      <c r="R271" s="53"/>
      <c r="S271" s="54"/>
    </row>
    <row r="272" spans="1:19" ht="13" customHeight="1">
      <c r="A272" s="24" t="s">
        <v>261</v>
      </c>
      <c r="B272" s="24" t="s">
        <v>254</v>
      </c>
      <c r="C272" s="59"/>
      <c r="D272" s="39" t="s">
        <v>262</v>
      </c>
      <c r="E272" s="24" t="s">
        <v>263</v>
      </c>
      <c r="F272" s="24" t="s">
        <v>264</v>
      </c>
      <c r="G272" s="25" t="s">
        <v>265</v>
      </c>
      <c r="H272" s="38"/>
      <c r="I272" s="67" t="s">
        <v>276</v>
      </c>
      <c r="J272" s="29" t="s">
        <v>98</v>
      </c>
      <c r="K272" s="41">
        <f>1</f>
        <v>1</v>
      </c>
      <c r="L272" s="62">
        <f>0.96</f>
        <v>0.96</v>
      </c>
      <c r="M272" s="63">
        <f>0.91</f>
        <v>0.91</v>
      </c>
      <c r="N272" s="65"/>
      <c r="O272" s="65"/>
      <c r="P272" s="65"/>
      <c r="Q272" s="65"/>
      <c r="R272" s="53"/>
      <c r="S272" s="54"/>
    </row>
    <row r="273" spans="1:19" ht="13" customHeight="1">
      <c r="A273" s="24" t="s">
        <v>261</v>
      </c>
      <c r="B273" s="24" t="s">
        <v>254</v>
      </c>
      <c r="C273" s="59"/>
      <c r="D273" s="39" t="s">
        <v>262</v>
      </c>
      <c r="E273" s="24" t="s">
        <v>263</v>
      </c>
      <c r="F273" s="24" t="s">
        <v>264</v>
      </c>
      <c r="G273" s="25" t="s">
        <v>265</v>
      </c>
      <c r="H273" s="38"/>
      <c r="I273" s="52" t="s">
        <v>277</v>
      </c>
      <c r="J273" s="36" t="s">
        <v>267</v>
      </c>
      <c r="K273" s="37">
        <f>71</f>
        <v>71</v>
      </c>
      <c r="L273" s="64">
        <f>78</f>
        <v>78</v>
      </c>
      <c r="M273" s="65">
        <f>91</f>
        <v>91</v>
      </c>
      <c r="N273" s="65"/>
      <c r="O273" s="65"/>
      <c r="P273" s="65"/>
      <c r="Q273" s="65"/>
      <c r="R273" s="53"/>
      <c r="S273" s="54"/>
    </row>
    <row r="274" spans="1:19" ht="13" customHeight="1">
      <c r="A274" s="24" t="s">
        <v>261</v>
      </c>
      <c r="B274" s="24" t="s">
        <v>254</v>
      </c>
      <c r="C274" s="59"/>
      <c r="D274" s="39" t="s">
        <v>262</v>
      </c>
      <c r="E274" s="24" t="s">
        <v>263</v>
      </c>
      <c r="F274" s="24" t="s">
        <v>264</v>
      </c>
      <c r="G274" s="25" t="s">
        <v>265</v>
      </c>
      <c r="H274" s="38"/>
      <c r="I274" s="52" t="s">
        <v>278</v>
      </c>
      <c r="J274" s="36" t="s">
        <v>269</v>
      </c>
      <c r="K274" s="37">
        <f>13.8</f>
        <v>13.8</v>
      </c>
      <c r="L274" s="68">
        <f>10.9</f>
        <v>10.9</v>
      </c>
      <c r="M274" s="65">
        <f>10.8</f>
        <v>10.8</v>
      </c>
      <c r="N274" s="65"/>
      <c r="O274" s="65"/>
      <c r="P274" s="65"/>
      <c r="Q274" s="65"/>
      <c r="R274" s="53"/>
      <c r="S274" s="54"/>
    </row>
    <row r="275" spans="1:19" ht="13" customHeight="1">
      <c r="A275" s="24" t="s">
        <v>261</v>
      </c>
      <c r="B275" s="24" t="s">
        <v>254</v>
      </c>
      <c r="C275" s="59"/>
      <c r="D275" s="39" t="s">
        <v>262</v>
      </c>
      <c r="E275" s="24" t="s">
        <v>263</v>
      </c>
      <c r="F275" s="24" t="s">
        <v>264</v>
      </c>
      <c r="G275" s="25" t="s">
        <v>265</v>
      </c>
      <c r="H275" s="38"/>
      <c r="I275" s="52" t="s">
        <v>279</v>
      </c>
      <c r="J275" s="29" t="s">
        <v>98</v>
      </c>
      <c r="K275" s="41">
        <f>1</f>
        <v>1</v>
      </c>
      <c r="L275" s="62">
        <f>0.79</f>
        <v>0.79</v>
      </c>
      <c r="M275" s="63">
        <f>0.79</f>
        <v>0.79</v>
      </c>
      <c r="N275" s="65"/>
      <c r="O275" s="65"/>
      <c r="P275" s="65"/>
      <c r="Q275" s="65"/>
      <c r="R275" s="53"/>
      <c r="S275" s="54"/>
    </row>
    <row r="276" spans="1:19" ht="13" customHeight="1">
      <c r="A276" s="24" t="s">
        <v>261</v>
      </c>
      <c r="B276" s="24" t="s">
        <v>254</v>
      </c>
      <c r="C276" s="59"/>
      <c r="D276" s="39" t="s">
        <v>262</v>
      </c>
      <c r="E276" s="24" t="s">
        <v>263</v>
      </c>
      <c r="F276" s="24" t="s">
        <v>264</v>
      </c>
      <c r="G276" s="25" t="s">
        <v>265</v>
      </c>
      <c r="H276" s="38"/>
      <c r="I276" s="67" t="s">
        <v>278</v>
      </c>
      <c r="J276" s="36" t="s">
        <v>275</v>
      </c>
      <c r="K276" s="37">
        <f>1.46</f>
        <v>1.46</v>
      </c>
      <c r="L276" s="64">
        <f>1.39</f>
        <v>1.39</v>
      </c>
      <c r="M276" s="65">
        <f>1.11</f>
        <v>1.1100000000000001</v>
      </c>
      <c r="N276" s="65"/>
      <c r="O276" s="65"/>
      <c r="P276" s="65"/>
      <c r="Q276" s="65"/>
      <c r="R276" s="53"/>
      <c r="S276" s="54"/>
    </row>
    <row r="277" spans="1:19" ht="13" customHeight="1">
      <c r="A277" s="24" t="s">
        <v>261</v>
      </c>
      <c r="B277" s="24" t="s">
        <v>254</v>
      </c>
      <c r="C277" s="59"/>
      <c r="D277" s="39" t="s">
        <v>262</v>
      </c>
      <c r="E277" s="24" t="s">
        <v>263</v>
      </c>
      <c r="F277" s="24" t="s">
        <v>264</v>
      </c>
      <c r="G277" s="25" t="s">
        <v>265</v>
      </c>
      <c r="H277" s="38"/>
      <c r="I277" s="52" t="s">
        <v>280</v>
      </c>
      <c r="J277" s="29" t="s">
        <v>98</v>
      </c>
      <c r="K277" s="41">
        <f>1</f>
        <v>1</v>
      </c>
      <c r="L277" s="62">
        <f>0.95</f>
        <v>0.95</v>
      </c>
      <c r="M277" s="63">
        <f>0.76</f>
        <v>0.76</v>
      </c>
      <c r="N277" s="65"/>
      <c r="O277" s="65"/>
      <c r="P277" s="65"/>
      <c r="Q277" s="65"/>
      <c r="R277" s="53"/>
      <c r="S277" s="54"/>
    </row>
    <row r="278" spans="1:19" ht="13" customHeight="1">
      <c r="A278" s="24" t="s">
        <v>261</v>
      </c>
      <c r="B278" s="24" t="s">
        <v>254</v>
      </c>
      <c r="C278" s="59"/>
      <c r="D278" s="39" t="s">
        <v>262</v>
      </c>
      <c r="E278" s="24" t="s">
        <v>263</v>
      </c>
      <c r="F278" s="24" t="s">
        <v>264</v>
      </c>
      <c r="G278" s="25" t="s">
        <v>265</v>
      </c>
      <c r="H278" s="38"/>
      <c r="I278" s="52" t="s">
        <v>281</v>
      </c>
      <c r="J278" s="36" t="s">
        <v>267</v>
      </c>
      <c r="K278" s="37">
        <f>59</f>
        <v>59</v>
      </c>
      <c r="L278" s="64">
        <f>64</f>
        <v>64</v>
      </c>
      <c r="M278" s="65">
        <f>62</f>
        <v>62</v>
      </c>
      <c r="N278" s="65"/>
      <c r="O278" s="65"/>
      <c r="P278" s="65"/>
      <c r="Q278" s="65"/>
      <c r="R278" s="53"/>
      <c r="S278" s="54"/>
    </row>
    <row r="279" spans="1:19" ht="13" customHeight="1">
      <c r="A279" s="24" t="s">
        <v>261</v>
      </c>
      <c r="B279" s="24" t="s">
        <v>254</v>
      </c>
      <c r="C279" s="59"/>
      <c r="D279" s="39" t="s">
        <v>262</v>
      </c>
      <c r="E279" s="24" t="s">
        <v>263</v>
      </c>
      <c r="F279" s="24" t="s">
        <v>264</v>
      </c>
      <c r="G279" s="25" t="s">
        <v>265</v>
      </c>
      <c r="H279" s="38"/>
      <c r="I279" s="67" t="s">
        <v>282</v>
      </c>
      <c r="J279" s="36" t="s">
        <v>269</v>
      </c>
      <c r="K279" s="37">
        <f>32.3</f>
        <v>32.299999999999997</v>
      </c>
      <c r="L279" s="68">
        <f>29.6</f>
        <v>29.6</v>
      </c>
      <c r="M279" s="65">
        <f>27.3</f>
        <v>27.3</v>
      </c>
      <c r="N279" s="65"/>
      <c r="O279" s="65"/>
      <c r="P279" s="65"/>
      <c r="Q279" s="65"/>
      <c r="R279" s="53"/>
      <c r="S279" s="54"/>
    </row>
    <row r="280" spans="1:19" ht="13" customHeight="1">
      <c r="A280" s="24" t="s">
        <v>261</v>
      </c>
      <c r="B280" s="24" t="s">
        <v>254</v>
      </c>
      <c r="C280" s="59"/>
      <c r="D280" s="39" t="s">
        <v>262</v>
      </c>
      <c r="E280" s="24" t="s">
        <v>263</v>
      </c>
      <c r="F280" s="24" t="s">
        <v>264</v>
      </c>
      <c r="G280" s="25" t="s">
        <v>265</v>
      </c>
      <c r="H280" s="38"/>
      <c r="I280" s="52" t="s">
        <v>283</v>
      </c>
      <c r="J280" s="29" t="s">
        <v>98</v>
      </c>
      <c r="K280" s="41">
        <f>1</f>
        <v>1</v>
      </c>
      <c r="L280" s="62">
        <f>0.92</f>
        <v>0.92</v>
      </c>
      <c r="M280" s="63">
        <f>0.84</f>
        <v>0.84</v>
      </c>
      <c r="N280" s="65"/>
      <c r="O280" s="65"/>
      <c r="P280" s="65"/>
      <c r="Q280" s="65"/>
      <c r="R280" s="53"/>
      <c r="S280" s="54"/>
    </row>
    <row r="281" spans="1:19" ht="13" customHeight="1">
      <c r="A281" s="24" t="s">
        <v>261</v>
      </c>
      <c r="B281" s="24" t="s">
        <v>254</v>
      </c>
      <c r="C281" s="59"/>
      <c r="D281" s="39" t="s">
        <v>262</v>
      </c>
      <c r="E281" s="24" t="s">
        <v>263</v>
      </c>
      <c r="F281" s="24" t="s">
        <v>264</v>
      </c>
      <c r="G281" s="25" t="s">
        <v>265</v>
      </c>
      <c r="H281" s="38"/>
      <c r="I281" s="67" t="s">
        <v>282</v>
      </c>
      <c r="J281" s="36" t="s">
        <v>275</v>
      </c>
      <c r="K281" s="37">
        <f>0.59</f>
        <v>0.59</v>
      </c>
      <c r="L281" s="64">
        <f>0.58</f>
        <v>0.57999999999999996</v>
      </c>
      <c r="M281" s="65">
        <f>0.49</f>
        <v>0.49</v>
      </c>
      <c r="N281" s="65"/>
      <c r="O281" s="65"/>
      <c r="P281" s="65"/>
      <c r="Q281" s="65"/>
      <c r="R281" s="53"/>
      <c r="S281" s="54"/>
    </row>
    <row r="282" spans="1:19" ht="13" customHeight="1">
      <c r="A282" s="24" t="s">
        <v>261</v>
      </c>
      <c r="B282" s="24" t="s">
        <v>254</v>
      </c>
      <c r="C282" s="59"/>
      <c r="D282" s="39" t="s">
        <v>262</v>
      </c>
      <c r="E282" s="24" t="s">
        <v>263</v>
      </c>
      <c r="F282" s="24" t="s">
        <v>264</v>
      </c>
      <c r="G282" s="25" t="s">
        <v>265</v>
      </c>
      <c r="H282" s="38"/>
      <c r="I282" s="67" t="s">
        <v>284</v>
      </c>
      <c r="J282" s="29" t="s">
        <v>98</v>
      </c>
      <c r="K282" s="41">
        <f>1</f>
        <v>1</v>
      </c>
      <c r="L282" s="62">
        <f>0.98</f>
        <v>0.98</v>
      </c>
      <c r="M282" s="63">
        <f>0.84</f>
        <v>0.84</v>
      </c>
      <c r="N282" s="65"/>
      <c r="O282" s="65"/>
      <c r="P282" s="65"/>
      <c r="Q282" s="65"/>
      <c r="R282" s="53"/>
      <c r="S282" s="54"/>
    </row>
    <row r="283" spans="1:19" ht="13" customHeight="1">
      <c r="A283" s="24" t="s">
        <v>261</v>
      </c>
      <c r="B283" s="24" t="s">
        <v>254</v>
      </c>
      <c r="C283" s="59"/>
      <c r="D283" s="39" t="s">
        <v>262</v>
      </c>
      <c r="E283" s="24" t="s">
        <v>263</v>
      </c>
      <c r="F283" s="24" t="s">
        <v>264</v>
      </c>
      <c r="G283" s="25" t="s">
        <v>265</v>
      </c>
      <c r="H283" s="38"/>
      <c r="I283" s="52" t="s">
        <v>285</v>
      </c>
      <c r="J283" s="36" t="s">
        <v>267</v>
      </c>
      <c r="K283" s="37">
        <f>12</f>
        <v>12</v>
      </c>
      <c r="L283" s="64">
        <f>15</f>
        <v>15</v>
      </c>
      <c r="M283" s="65">
        <f>20</f>
        <v>20</v>
      </c>
      <c r="N283" s="65"/>
      <c r="O283" s="65"/>
      <c r="P283" s="65"/>
      <c r="Q283" s="65"/>
      <c r="R283" s="53"/>
      <c r="S283" s="54"/>
    </row>
    <row r="284" spans="1:19" ht="13" customHeight="1">
      <c r="A284" s="24" t="s">
        <v>261</v>
      </c>
      <c r="B284" s="24" t="s">
        <v>254</v>
      </c>
      <c r="C284" s="59"/>
      <c r="D284" s="39" t="s">
        <v>262</v>
      </c>
      <c r="E284" s="24" t="s">
        <v>263</v>
      </c>
      <c r="F284" s="24" t="s">
        <v>264</v>
      </c>
      <c r="G284" s="25" t="s">
        <v>265</v>
      </c>
      <c r="H284" s="38"/>
      <c r="I284" s="52" t="s">
        <v>286</v>
      </c>
      <c r="J284" s="61" t="s">
        <v>269</v>
      </c>
      <c r="K284" s="37">
        <f>11.8</f>
        <v>11.8</v>
      </c>
      <c r="L284" s="68">
        <f>11.5</f>
        <v>11.5</v>
      </c>
      <c r="M284" s="65">
        <f>9.8</f>
        <v>9.8000000000000007</v>
      </c>
      <c r="N284" s="65"/>
      <c r="O284" s="65"/>
      <c r="P284" s="65"/>
      <c r="Q284" s="65"/>
      <c r="R284" s="53"/>
      <c r="S284" s="54"/>
    </row>
    <row r="285" spans="1:19" ht="13" customHeight="1">
      <c r="A285" s="24" t="s">
        <v>261</v>
      </c>
      <c r="B285" s="24" t="s">
        <v>254</v>
      </c>
      <c r="C285" s="59"/>
      <c r="D285" s="39" t="s">
        <v>262</v>
      </c>
      <c r="E285" s="24" t="s">
        <v>263</v>
      </c>
      <c r="F285" s="24" t="s">
        <v>264</v>
      </c>
      <c r="G285" s="25" t="s">
        <v>265</v>
      </c>
      <c r="H285" s="38"/>
      <c r="I285" s="67" t="s">
        <v>287</v>
      </c>
      <c r="J285" s="29" t="s">
        <v>98</v>
      </c>
      <c r="K285" s="41">
        <f>1</f>
        <v>1</v>
      </c>
      <c r="L285" s="62">
        <f>0.97</f>
        <v>0.97</v>
      </c>
      <c r="M285" s="63">
        <f>0.83</f>
        <v>0.83</v>
      </c>
      <c r="N285" s="65"/>
      <c r="O285" s="65"/>
      <c r="P285" s="65"/>
      <c r="Q285" s="65"/>
      <c r="R285" s="53"/>
      <c r="S285" s="54"/>
    </row>
    <row r="286" spans="1:19" ht="13" customHeight="1">
      <c r="A286" s="24" t="s">
        <v>261</v>
      </c>
      <c r="B286" s="24" t="s">
        <v>254</v>
      </c>
      <c r="C286" s="59"/>
      <c r="D286" s="39" t="s">
        <v>262</v>
      </c>
      <c r="E286" s="24" t="s">
        <v>263</v>
      </c>
      <c r="F286" s="24" t="s">
        <v>264</v>
      </c>
      <c r="G286" s="25" t="s">
        <v>265</v>
      </c>
      <c r="H286" s="38"/>
      <c r="I286" s="52" t="s">
        <v>286</v>
      </c>
      <c r="J286" s="36" t="s">
        <v>275</v>
      </c>
      <c r="K286" s="37">
        <f>1.02</f>
        <v>1.02</v>
      </c>
      <c r="L286" s="68">
        <f>1</f>
        <v>1</v>
      </c>
      <c r="M286" s="65">
        <f>0.81</f>
        <v>0.81</v>
      </c>
      <c r="N286" s="65"/>
      <c r="O286" s="65"/>
      <c r="P286" s="65"/>
      <c r="Q286" s="65"/>
      <c r="R286" s="53"/>
      <c r="S286" s="54"/>
    </row>
    <row r="287" spans="1:19" ht="13" customHeight="1">
      <c r="A287" s="24" t="s">
        <v>261</v>
      </c>
      <c r="B287" s="24" t="s">
        <v>254</v>
      </c>
      <c r="C287" s="59"/>
      <c r="D287" s="39" t="s">
        <v>262</v>
      </c>
      <c r="E287" s="24" t="s">
        <v>263</v>
      </c>
      <c r="F287" s="24" t="s">
        <v>264</v>
      </c>
      <c r="G287" s="25" t="s">
        <v>265</v>
      </c>
      <c r="H287" s="38"/>
      <c r="I287" s="67" t="s">
        <v>435</v>
      </c>
      <c r="J287" s="69" t="s">
        <v>98</v>
      </c>
      <c r="K287" s="41">
        <f>1</f>
        <v>1</v>
      </c>
      <c r="L287" s="62">
        <f>0.98</f>
        <v>0.98</v>
      </c>
      <c r="M287" s="63">
        <f>0.79</f>
        <v>0.79</v>
      </c>
      <c r="N287" s="65"/>
      <c r="O287" s="65"/>
      <c r="P287" s="65"/>
      <c r="Q287" s="65"/>
      <c r="R287" s="53"/>
      <c r="S287" s="54"/>
    </row>
    <row r="288" spans="1:19" ht="13" customHeight="1">
      <c r="A288" s="24" t="s">
        <v>261</v>
      </c>
      <c r="B288" s="24" t="s">
        <v>254</v>
      </c>
      <c r="C288" s="59"/>
      <c r="D288" s="39" t="s">
        <v>262</v>
      </c>
      <c r="E288" s="24" t="s">
        <v>263</v>
      </c>
      <c r="F288" s="24" t="s">
        <v>264</v>
      </c>
      <c r="G288" s="25" t="s">
        <v>265</v>
      </c>
      <c r="H288" s="38"/>
      <c r="I288" s="52" t="s">
        <v>289</v>
      </c>
      <c r="J288" s="36" t="s">
        <v>267</v>
      </c>
      <c r="K288" s="37">
        <f>7</f>
        <v>7</v>
      </c>
      <c r="L288" s="64">
        <f>7</f>
        <v>7</v>
      </c>
      <c r="M288" s="65">
        <f>7</f>
        <v>7</v>
      </c>
      <c r="N288" s="65"/>
      <c r="O288" s="65"/>
      <c r="P288" s="65"/>
      <c r="Q288" s="65"/>
      <c r="R288" s="53"/>
      <c r="S288" s="54"/>
    </row>
    <row r="289" spans="1:19" ht="13" customHeight="1">
      <c r="A289" s="24" t="s">
        <v>261</v>
      </c>
      <c r="B289" s="24" t="s">
        <v>254</v>
      </c>
      <c r="C289" s="59"/>
      <c r="D289" s="39" t="s">
        <v>262</v>
      </c>
      <c r="E289" s="24" t="s">
        <v>263</v>
      </c>
      <c r="F289" s="24" t="s">
        <v>264</v>
      </c>
      <c r="G289" s="25" t="s">
        <v>265</v>
      </c>
      <c r="H289" s="38"/>
      <c r="I289" s="52" t="s">
        <v>290</v>
      </c>
      <c r="J289" s="36" t="s">
        <v>269</v>
      </c>
      <c r="K289" s="37">
        <f>0.9</f>
        <v>0.9</v>
      </c>
      <c r="L289" s="68">
        <f>0.7</f>
        <v>0.7</v>
      </c>
      <c r="M289" s="65">
        <f>0.7</f>
        <v>0.7</v>
      </c>
      <c r="N289" s="65"/>
      <c r="O289" s="65"/>
      <c r="P289" s="65"/>
      <c r="Q289" s="65"/>
      <c r="R289" s="53"/>
      <c r="S289" s="54"/>
    </row>
    <row r="290" spans="1:19" ht="13" customHeight="1">
      <c r="A290" s="24" t="s">
        <v>261</v>
      </c>
      <c r="B290" s="24" t="s">
        <v>254</v>
      </c>
      <c r="C290" s="59"/>
      <c r="D290" s="39" t="s">
        <v>262</v>
      </c>
      <c r="E290" s="24" t="s">
        <v>263</v>
      </c>
      <c r="F290" s="24" t="s">
        <v>264</v>
      </c>
      <c r="G290" s="25" t="s">
        <v>265</v>
      </c>
      <c r="H290" s="38"/>
      <c r="I290" s="52" t="s">
        <v>291</v>
      </c>
      <c r="J290" s="29" t="s">
        <v>98</v>
      </c>
      <c r="K290" s="41">
        <f>1</f>
        <v>1</v>
      </c>
      <c r="L290" s="62">
        <f>0.82</f>
        <v>0.82</v>
      </c>
      <c r="M290" s="63">
        <f>0.76</f>
        <v>0.76</v>
      </c>
      <c r="N290" s="65"/>
      <c r="O290" s="65"/>
      <c r="P290" s="65"/>
      <c r="Q290" s="65"/>
      <c r="R290" s="53"/>
      <c r="S290" s="54"/>
    </row>
    <row r="291" spans="1:19" ht="13" customHeight="1">
      <c r="A291" s="24" t="s">
        <v>261</v>
      </c>
      <c r="B291" s="24" t="s">
        <v>254</v>
      </c>
      <c r="C291" s="59"/>
      <c r="D291" s="39" t="s">
        <v>262</v>
      </c>
      <c r="E291" s="24" t="s">
        <v>263</v>
      </c>
      <c r="F291" s="24" t="s">
        <v>264</v>
      </c>
      <c r="G291" s="25" t="s">
        <v>265</v>
      </c>
      <c r="H291" s="38"/>
      <c r="I291" s="52" t="s">
        <v>292</v>
      </c>
      <c r="J291" s="36" t="s">
        <v>267</v>
      </c>
      <c r="K291" s="37">
        <f>62</f>
        <v>62</v>
      </c>
      <c r="L291" s="64">
        <f>57</f>
        <v>57</v>
      </c>
      <c r="M291" s="65">
        <f>53</f>
        <v>53</v>
      </c>
      <c r="N291" s="65"/>
      <c r="O291" s="65"/>
      <c r="P291" s="65"/>
      <c r="Q291" s="65"/>
      <c r="R291" s="53"/>
      <c r="S291" s="54"/>
    </row>
    <row r="292" spans="1:19" ht="13" customHeight="1">
      <c r="A292" s="24" t="s">
        <v>261</v>
      </c>
      <c r="B292" s="24" t="s">
        <v>254</v>
      </c>
      <c r="C292" s="59"/>
      <c r="D292" s="39" t="s">
        <v>262</v>
      </c>
      <c r="E292" s="24" t="s">
        <v>271</v>
      </c>
      <c r="F292" s="24" t="s">
        <v>264</v>
      </c>
      <c r="G292" s="25" t="s">
        <v>265</v>
      </c>
      <c r="H292" s="38"/>
      <c r="I292" s="52" t="s">
        <v>293</v>
      </c>
      <c r="J292" s="36" t="s">
        <v>269</v>
      </c>
      <c r="K292" s="37">
        <f>2.2</f>
        <v>2.2000000000000002</v>
      </c>
      <c r="L292" s="68">
        <f>1.8</f>
        <v>1.8</v>
      </c>
      <c r="M292" s="65">
        <f>1.2</f>
        <v>1.2</v>
      </c>
      <c r="N292" s="65"/>
      <c r="O292" s="65"/>
      <c r="P292" s="65"/>
      <c r="Q292" s="65"/>
      <c r="R292" s="53"/>
      <c r="S292" s="54"/>
    </row>
    <row r="293" spans="1:19" ht="13" customHeight="1">
      <c r="A293" s="24" t="s">
        <v>261</v>
      </c>
      <c r="B293" s="24" t="s">
        <v>254</v>
      </c>
      <c r="C293" s="59"/>
      <c r="D293" s="39" t="s">
        <v>262</v>
      </c>
      <c r="E293" s="24" t="s">
        <v>263</v>
      </c>
      <c r="F293" s="24" t="s">
        <v>264</v>
      </c>
      <c r="G293" s="25" t="s">
        <v>265</v>
      </c>
      <c r="H293" s="38"/>
      <c r="I293" s="52" t="s">
        <v>294</v>
      </c>
      <c r="J293" s="29" t="s">
        <v>98</v>
      </c>
      <c r="K293" s="41">
        <f>1</f>
        <v>1</v>
      </c>
      <c r="L293" s="62">
        <f>0.82</f>
        <v>0.82</v>
      </c>
      <c r="M293" s="63">
        <f>0.56</f>
        <v>0.56000000000000005</v>
      </c>
      <c r="N293" s="65"/>
      <c r="O293" s="65"/>
      <c r="P293" s="65"/>
      <c r="Q293" s="65"/>
      <c r="R293" s="53"/>
      <c r="S293" s="54"/>
    </row>
    <row r="294" spans="1:19" ht="13" customHeight="1">
      <c r="A294" s="24" t="s">
        <v>261</v>
      </c>
      <c r="B294" s="24" t="s">
        <v>254</v>
      </c>
      <c r="C294" s="59"/>
      <c r="D294" s="39" t="s">
        <v>262</v>
      </c>
      <c r="E294" s="24" t="s">
        <v>263</v>
      </c>
      <c r="F294" s="24" t="s">
        <v>264</v>
      </c>
      <c r="G294" s="25" t="s">
        <v>265</v>
      </c>
      <c r="H294" s="38"/>
      <c r="I294" s="52" t="s">
        <v>295</v>
      </c>
      <c r="J294" s="36" t="s">
        <v>267</v>
      </c>
      <c r="K294" s="37">
        <f>58</f>
        <v>58</v>
      </c>
      <c r="L294" s="64">
        <f>54</f>
        <v>54</v>
      </c>
      <c r="M294" s="65">
        <f>55</f>
        <v>55</v>
      </c>
      <c r="N294" s="65"/>
      <c r="O294" s="65"/>
      <c r="P294" s="65"/>
      <c r="Q294" s="65"/>
      <c r="R294" s="53"/>
      <c r="S294" s="54"/>
    </row>
    <row r="295" spans="1:19" ht="13" customHeight="1">
      <c r="A295" s="24" t="s">
        <v>261</v>
      </c>
      <c r="B295" s="24" t="s">
        <v>254</v>
      </c>
      <c r="C295" s="59"/>
      <c r="D295" s="39" t="s">
        <v>262</v>
      </c>
      <c r="E295" s="24" t="s">
        <v>296</v>
      </c>
      <c r="F295" s="24" t="s">
        <v>264</v>
      </c>
      <c r="G295" s="25" t="s">
        <v>265</v>
      </c>
      <c r="H295" s="38"/>
      <c r="I295" s="67" t="s">
        <v>297</v>
      </c>
      <c r="J295" s="36" t="s">
        <v>269</v>
      </c>
      <c r="K295" s="37">
        <f>5.2</f>
        <v>5.2</v>
      </c>
      <c r="L295" s="68">
        <f>4.5</f>
        <v>4.5</v>
      </c>
      <c r="M295" s="65">
        <f>4.4</f>
        <v>4.4000000000000004</v>
      </c>
      <c r="N295" s="65"/>
      <c r="O295" s="65"/>
      <c r="P295" s="65"/>
      <c r="Q295" s="65"/>
      <c r="R295" s="53"/>
      <c r="S295" s="54"/>
    </row>
    <row r="296" spans="1:19" ht="13" customHeight="1">
      <c r="A296" s="24" t="s">
        <v>261</v>
      </c>
      <c r="B296" s="24" t="s">
        <v>254</v>
      </c>
      <c r="C296" s="59"/>
      <c r="D296" s="39" t="s">
        <v>262</v>
      </c>
      <c r="E296" s="24" t="s">
        <v>263</v>
      </c>
      <c r="F296" s="24" t="s">
        <v>264</v>
      </c>
      <c r="G296" s="25" t="s">
        <v>265</v>
      </c>
      <c r="H296" s="38"/>
      <c r="I296" s="52" t="s">
        <v>298</v>
      </c>
      <c r="J296" s="29" t="s">
        <v>98</v>
      </c>
      <c r="K296" s="41">
        <f>1</f>
        <v>1</v>
      </c>
      <c r="L296" s="62">
        <f>0.87</f>
        <v>0.87</v>
      </c>
      <c r="M296" s="63">
        <f>0.84</f>
        <v>0.84</v>
      </c>
      <c r="N296" s="65"/>
      <c r="O296" s="65"/>
      <c r="P296" s="65"/>
      <c r="Q296" s="65"/>
      <c r="R296" s="53"/>
      <c r="S296" s="54"/>
    </row>
    <row r="297" spans="1:19" ht="13" customHeight="1">
      <c r="A297" s="24" t="s">
        <v>261</v>
      </c>
      <c r="B297" s="24" t="s">
        <v>254</v>
      </c>
      <c r="C297" s="59"/>
      <c r="D297" s="39" t="s">
        <v>262</v>
      </c>
      <c r="E297" s="24" t="s">
        <v>263</v>
      </c>
      <c r="F297" s="24" t="s">
        <v>264</v>
      </c>
      <c r="G297" s="25" t="s">
        <v>265</v>
      </c>
      <c r="H297" s="38"/>
      <c r="I297" s="50" t="s">
        <v>299</v>
      </c>
      <c r="J297" s="36" t="s">
        <v>267</v>
      </c>
      <c r="K297" s="37">
        <f>202</f>
        <v>202</v>
      </c>
      <c r="L297" s="64">
        <f>184</f>
        <v>184</v>
      </c>
      <c r="M297" s="65">
        <f>167</f>
        <v>167</v>
      </c>
      <c r="N297" s="65"/>
      <c r="O297" s="65"/>
      <c r="P297" s="65"/>
      <c r="Q297" s="65"/>
      <c r="R297" s="53"/>
      <c r="S297" s="54"/>
    </row>
    <row r="298" spans="1:19" ht="13" customHeight="1">
      <c r="A298" s="24" t="s">
        <v>261</v>
      </c>
      <c r="B298" s="24" t="s">
        <v>254</v>
      </c>
      <c r="C298" s="59"/>
      <c r="D298" s="39" t="s">
        <v>262</v>
      </c>
      <c r="E298" s="24" t="s">
        <v>271</v>
      </c>
      <c r="F298" s="24" t="s">
        <v>264</v>
      </c>
      <c r="G298" s="25" t="s">
        <v>265</v>
      </c>
      <c r="H298" s="38"/>
      <c r="I298" s="50" t="s">
        <v>300</v>
      </c>
      <c r="J298" s="61" t="s">
        <v>269</v>
      </c>
      <c r="K298" s="37">
        <f>11.3</f>
        <v>11.3</v>
      </c>
      <c r="L298" s="64">
        <f>9.9</f>
        <v>9.9</v>
      </c>
      <c r="M298" s="65">
        <f>8.7</f>
        <v>8.6999999999999993</v>
      </c>
      <c r="N298" s="65"/>
      <c r="O298" s="65"/>
      <c r="P298" s="65"/>
      <c r="Q298" s="65"/>
      <c r="R298" s="53"/>
      <c r="S298" s="54"/>
    </row>
    <row r="299" spans="1:19" ht="13" customHeight="1">
      <c r="A299" s="24" t="s">
        <v>261</v>
      </c>
      <c r="B299" s="24" t="s">
        <v>254</v>
      </c>
      <c r="C299" s="59"/>
      <c r="D299" s="39" t="s">
        <v>262</v>
      </c>
      <c r="E299" s="24" t="s">
        <v>263</v>
      </c>
      <c r="F299" s="24" t="s">
        <v>264</v>
      </c>
      <c r="G299" s="25" t="s">
        <v>265</v>
      </c>
      <c r="H299" s="38"/>
      <c r="I299" s="70" t="s">
        <v>301</v>
      </c>
      <c r="J299" s="36" t="s">
        <v>302</v>
      </c>
      <c r="K299" s="37">
        <f>158</f>
        <v>158</v>
      </c>
      <c r="L299" s="64">
        <f>111</f>
        <v>111</v>
      </c>
      <c r="M299" s="65">
        <f>100</f>
        <v>100</v>
      </c>
      <c r="N299" s="65"/>
      <c r="O299" s="65"/>
      <c r="P299" s="65"/>
      <c r="Q299" s="65"/>
      <c r="R299" s="53"/>
      <c r="S299" s="54"/>
    </row>
    <row r="300" spans="1:19" ht="13" customHeight="1">
      <c r="A300" s="24" t="s">
        <v>261</v>
      </c>
      <c r="B300" s="24" t="s">
        <v>254</v>
      </c>
      <c r="C300" s="59"/>
      <c r="D300" s="39" t="s">
        <v>262</v>
      </c>
      <c r="E300" s="24" t="s">
        <v>263</v>
      </c>
      <c r="F300" s="24" t="s">
        <v>264</v>
      </c>
      <c r="G300" s="25" t="s">
        <v>265</v>
      </c>
      <c r="H300" s="38"/>
      <c r="I300" s="70" t="s">
        <v>303</v>
      </c>
      <c r="J300" s="36" t="s">
        <v>304</v>
      </c>
      <c r="K300" s="37">
        <f>35</f>
        <v>35</v>
      </c>
      <c r="L300" s="64">
        <f>31</f>
        <v>31</v>
      </c>
      <c r="M300" s="65">
        <f>25</f>
        <v>25</v>
      </c>
      <c r="N300" s="65"/>
      <c r="O300" s="65"/>
      <c r="P300" s="65"/>
      <c r="Q300" s="65"/>
      <c r="R300" s="53"/>
      <c r="S300" s="54"/>
    </row>
    <row r="301" spans="1:19" ht="13" customHeight="1">
      <c r="A301" s="24" t="s">
        <v>261</v>
      </c>
      <c r="B301" s="24" t="s">
        <v>254</v>
      </c>
      <c r="C301" s="59"/>
      <c r="D301" s="39" t="s">
        <v>262</v>
      </c>
      <c r="E301" s="24" t="s">
        <v>263</v>
      </c>
      <c r="F301" s="24" t="s">
        <v>264</v>
      </c>
      <c r="G301" s="25" t="s">
        <v>265</v>
      </c>
      <c r="H301" s="38"/>
      <c r="I301" s="70" t="s">
        <v>305</v>
      </c>
      <c r="J301" s="36" t="s">
        <v>302</v>
      </c>
      <c r="K301" s="37">
        <f>177</f>
        <v>177</v>
      </c>
      <c r="L301" s="64">
        <f>176</f>
        <v>176</v>
      </c>
      <c r="M301" s="65">
        <f>159</f>
        <v>159</v>
      </c>
      <c r="N301" s="65"/>
      <c r="O301" s="65"/>
      <c r="P301" s="65"/>
      <c r="Q301" s="65"/>
      <c r="R301" s="53"/>
      <c r="S301" s="54"/>
    </row>
    <row r="302" spans="1:19" ht="13" customHeight="1">
      <c r="A302" s="24" t="s">
        <v>261</v>
      </c>
      <c r="B302" s="24" t="s">
        <v>254</v>
      </c>
      <c r="C302" s="59"/>
      <c r="D302" s="39" t="s">
        <v>262</v>
      </c>
      <c r="E302" s="24" t="s">
        <v>263</v>
      </c>
      <c r="F302" s="24" t="s">
        <v>264</v>
      </c>
      <c r="G302" s="25" t="s">
        <v>265</v>
      </c>
      <c r="H302" s="38"/>
      <c r="I302" s="50" t="s">
        <v>306</v>
      </c>
      <c r="J302" s="29" t="s">
        <v>98</v>
      </c>
      <c r="K302" s="41">
        <f>1</f>
        <v>1</v>
      </c>
      <c r="L302" s="71">
        <f>0.88</f>
        <v>0.88</v>
      </c>
      <c r="M302" s="72">
        <f>0.77</f>
        <v>0.77</v>
      </c>
      <c r="N302" s="25"/>
      <c r="O302" s="25"/>
      <c r="P302" s="25"/>
      <c r="Q302" s="25"/>
      <c r="R302" s="53"/>
      <c r="S302" s="54"/>
    </row>
    <row r="303" spans="1:19" ht="13" customHeight="1">
      <c r="A303" s="24" t="s">
        <v>261</v>
      </c>
      <c r="B303" s="24" t="s">
        <v>254</v>
      </c>
      <c r="C303" s="59"/>
      <c r="D303" s="39" t="s">
        <v>262</v>
      </c>
      <c r="E303" s="24" t="s">
        <v>263</v>
      </c>
      <c r="F303" s="24" t="s">
        <v>264</v>
      </c>
      <c r="G303" s="25" t="s">
        <v>265</v>
      </c>
      <c r="H303" s="38"/>
      <c r="I303" s="50" t="s">
        <v>307</v>
      </c>
      <c r="J303" s="29" t="s">
        <v>98</v>
      </c>
      <c r="K303" s="41">
        <f>0.35</f>
        <v>0.35</v>
      </c>
      <c r="L303" s="71">
        <f>0.48</f>
        <v>0.48</v>
      </c>
      <c r="M303" s="72">
        <f>0.6</f>
        <v>0.6</v>
      </c>
      <c r="N303" s="25"/>
      <c r="O303" s="25"/>
      <c r="P303" s="25"/>
      <c r="Q303" s="25"/>
      <c r="R303" s="53"/>
      <c r="S303" s="54"/>
    </row>
    <row r="304" spans="1:19" ht="13" customHeight="1">
      <c r="A304" s="24" t="s">
        <v>261</v>
      </c>
      <c r="B304" s="24" t="s">
        <v>254</v>
      </c>
      <c r="C304" s="59"/>
      <c r="D304" s="39" t="s">
        <v>262</v>
      </c>
      <c r="E304" s="24" t="s">
        <v>263</v>
      </c>
      <c r="F304" s="24" t="s">
        <v>264</v>
      </c>
      <c r="G304" s="25" t="s">
        <v>265</v>
      </c>
      <c r="H304" s="38"/>
      <c r="I304" s="50" t="s">
        <v>308</v>
      </c>
      <c r="J304" s="29" t="s">
        <v>98</v>
      </c>
      <c r="K304" s="41">
        <f>0.02</f>
        <v>0.02</v>
      </c>
      <c r="L304" s="71">
        <f>0.08</f>
        <v>0.08</v>
      </c>
      <c r="M304" s="72">
        <f>0.1</f>
        <v>0.1</v>
      </c>
      <c r="N304" s="25"/>
      <c r="O304" s="25"/>
      <c r="P304" s="25"/>
      <c r="Q304" s="25"/>
      <c r="R304" s="53"/>
      <c r="S304" s="54"/>
    </row>
    <row r="305" spans="1:19" ht="13" customHeight="1">
      <c r="A305" s="24" t="s">
        <v>309</v>
      </c>
      <c r="B305" s="24" t="s">
        <v>310</v>
      </c>
      <c r="C305" s="73"/>
      <c r="D305" s="39" t="s">
        <v>311</v>
      </c>
      <c r="E305" s="25" t="s">
        <v>257</v>
      </c>
      <c r="F305" s="25" t="s">
        <v>264</v>
      </c>
      <c r="G305" s="25" t="s">
        <v>259</v>
      </c>
      <c r="H305" s="38"/>
      <c r="I305" s="28" t="s">
        <v>314</v>
      </c>
      <c r="J305" s="29" t="s">
        <v>98</v>
      </c>
      <c r="K305" s="41">
        <f>1</f>
        <v>1</v>
      </c>
      <c r="L305" s="71">
        <f t="shared" ref="L305:O306" si="4">1.03</f>
        <v>1.03</v>
      </c>
      <c r="M305" s="72">
        <f t="shared" si="4"/>
        <v>1.03</v>
      </c>
      <c r="N305" s="72">
        <f t="shared" si="4"/>
        <v>1.03</v>
      </c>
      <c r="O305" s="72">
        <f t="shared" si="4"/>
        <v>1.03</v>
      </c>
      <c r="P305" s="72">
        <f t="shared" ref="P305:R308" si="5">1.04</f>
        <v>1.04</v>
      </c>
      <c r="Q305" s="72">
        <f t="shared" si="5"/>
        <v>1.04</v>
      </c>
      <c r="R305" s="72">
        <f t="shared" ref="R305:S306" si="6">1.03</f>
        <v>1.03</v>
      </c>
      <c r="S305" s="74">
        <f t="shared" si="6"/>
        <v>1.03</v>
      </c>
    </row>
    <row r="306" spans="1:19" ht="13" customHeight="1">
      <c r="A306" s="24" t="s">
        <v>309</v>
      </c>
      <c r="B306" s="24" t="s">
        <v>310</v>
      </c>
      <c r="C306" s="73"/>
      <c r="D306" s="39" t="s">
        <v>311</v>
      </c>
      <c r="E306" s="25" t="s">
        <v>312</v>
      </c>
      <c r="F306" s="25" t="s">
        <v>264</v>
      </c>
      <c r="G306" s="25" t="s">
        <v>265</v>
      </c>
      <c r="H306" s="38"/>
      <c r="I306" s="28" t="s">
        <v>314</v>
      </c>
      <c r="J306" s="29" t="s">
        <v>98</v>
      </c>
      <c r="K306" s="41">
        <f>1</f>
        <v>1</v>
      </c>
      <c r="L306" s="71">
        <f t="shared" si="4"/>
        <v>1.03</v>
      </c>
      <c r="M306" s="72">
        <f t="shared" si="4"/>
        <v>1.03</v>
      </c>
      <c r="N306" s="72">
        <f t="shared" si="4"/>
        <v>1.03</v>
      </c>
      <c r="O306" s="72">
        <f t="shared" si="4"/>
        <v>1.03</v>
      </c>
      <c r="P306" s="72">
        <f t="shared" si="5"/>
        <v>1.04</v>
      </c>
      <c r="Q306" s="72">
        <f t="shared" si="5"/>
        <v>1.04</v>
      </c>
      <c r="R306" s="72">
        <f t="shared" si="6"/>
        <v>1.03</v>
      </c>
      <c r="S306" s="74">
        <f t="shared" si="6"/>
        <v>1.03</v>
      </c>
    </row>
    <row r="307" spans="1:19" ht="13" customHeight="1">
      <c r="A307" s="24" t="s">
        <v>309</v>
      </c>
      <c r="B307" s="24" t="s">
        <v>310</v>
      </c>
      <c r="C307" s="73"/>
      <c r="D307" s="39" t="s">
        <v>311</v>
      </c>
      <c r="E307" s="25" t="s">
        <v>257</v>
      </c>
      <c r="F307" s="25" t="s">
        <v>264</v>
      </c>
      <c r="G307" s="25" t="s">
        <v>259</v>
      </c>
      <c r="H307" s="38"/>
      <c r="I307" s="52" t="s">
        <v>315</v>
      </c>
      <c r="J307" s="29" t="s">
        <v>98</v>
      </c>
      <c r="K307" s="41">
        <f>1</f>
        <v>1</v>
      </c>
      <c r="L307" s="71">
        <f t="shared" ref="L307:O308" si="7">1.04</f>
        <v>1.04</v>
      </c>
      <c r="M307" s="72">
        <f t="shared" si="7"/>
        <v>1.04</v>
      </c>
      <c r="N307" s="72">
        <f t="shared" si="7"/>
        <v>1.04</v>
      </c>
      <c r="O307" s="72">
        <f t="shared" si="7"/>
        <v>1.04</v>
      </c>
      <c r="P307" s="72">
        <f t="shared" si="5"/>
        <v>1.04</v>
      </c>
      <c r="Q307" s="72">
        <f t="shared" si="5"/>
        <v>1.04</v>
      </c>
      <c r="R307" s="72">
        <f t="shared" si="5"/>
        <v>1.04</v>
      </c>
      <c r="S307" s="74">
        <f t="shared" ref="S307:S308" si="8">1.04</f>
        <v>1.04</v>
      </c>
    </row>
    <row r="308" spans="1:19" ht="13" customHeight="1">
      <c r="A308" s="24" t="s">
        <v>309</v>
      </c>
      <c r="B308" s="24" t="s">
        <v>310</v>
      </c>
      <c r="C308" s="73"/>
      <c r="D308" s="39" t="s">
        <v>311</v>
      </c>
      <c r="E308" s="25" t="s">
        <v>312</v>
      </c>
      <c r="F308" s="25" t="s">
        <v>264</v>
      </c>
      <c r="G308" s="25" t="s">
        <v>265</v>
      </c>
      <c r="H308" s="38"/>
      <c r="I308" s="52" t="s">
        <v>315</v>
      </c>
      <c r="J308" s="69" t="s">
        <v>98</v>
      </c>
      <c r="K308" s="41">
        <f>1</f>
        <v>1</v>
      </c>
      <c r="L308" s="71">
        <f t="shared" si="7"/>
        <v>1.04</v>
      </c>
      <c r="M308" s="72">
        <f t="shared" si="7"/>
        <v>1.04</v>
      </c>
      <c r="N308" s="72">
        <f t="shared" si="7"/>
        <v>1.04</v>
      </c>
      <c r="O308" s="72">
        <f t="shared" si="7"/>
        <v>1.04</v>
      </c>
      <c r="P308" s="72">
        <f t="shared" si="5"/>
        <v>1.04</v>
      </c>
      <c r="Q308" s="72">
        <f t="shared" si="5"/>
        <v>1.04</v>
      </c>
      <c r="R308" s="72">
        <f t="shared" si="5"/>
        <v>1.04</v>
      </c>
      <c r="S308" s="74">
        <f t="shared" si="8"/>
        <v>1.04</v>
      </c>
    </row>
    <row r="309" spans="1:19" ht="13" customHeight="1">
      <c r="A309" s="24" t="s">
        <v>309</v>
      </c>
      <c r="B309" s="24" t="s">
        <v>310</v>
      </c>
      <c r="C309" s="59"/>
      <c r="D309" s="39" t="s">
        <v>311</v>
      </c>
      <c r="E309" s="25" t="s">
        <v>257</v>
      </c>
      <c r="F309" s="25" t="s">
        <v>264</v>
      </c>
      <c r="G309" s="25" t="s">
        <v>259</v>
      </c>
      <c r="H309" s="38"/>
      <c r="I309" s="56" t="s">
        <v>316</v>
      </c>
      <c r="J309" s="36" t="s">
        <v>267</v>
      </c>
      <c r="K309" s="75">
        <f>1586</f>
        <v>1586</v>
      </c>
      <c r="L309" s="64"/>
      <c r="M309" s="65">
        <f>1717.8</f>
        <v>1717.8</v>
      </c>
      <c r="N309" s="65">
        <f>1789.4</f>
        <v>1789.4</v>
      </c>
      <c r="O309" s="65">
        <f>1865.2</f>
        <v>1865.2</v>
      </c>
      <c r="P309" s="65"/>
      <c r="Q309" s="26">
        <f>1986.3</f>
        <v>1986.3</v>
      </c>
      <c r="R309" s="26"/>
      <c r="S309" s="32">
        <f>2026</f>
        <v>2026</v>
      </c>
    </row>
    <row r="310" spans="1:19" ht="13" customHeight="1">
      <c r="A310" s="24" t="s">
        <v>309</v>
      </c>
      <c r="B310" s="24" t="s">
        <v>310</v>
      </c>
      <c r="C310" s="73"/>
      <c r="D310" s="39" t="s">
        <v>311</v>
      </c>
      <c r="E310" s="76" t="s">
        <v>312</v>
      </c>
      <c r="F310" s="76" t="s">
        <v>264</v>
      </c>
      <c r="G310" s="25" t="s">
        <v>265</v>
      </c>
      <c r="H310" s="38"/>
      <c r="I310" s="56" t="s">
        <v>316</v>
      </c>
      <c r="J310" s="77" t="s">
        <v>267</v>
      </c>
      <c r="K310" s="75">
        <f>1586</f>
        <v>1586</v>
      </c>
      <c r="L310" s="64"/>
      <c r="M310" s="65">
        <f>1673.2</f>
        <v>1673.2</v>
      </c>
      <c r="N310" s="78">
        <f>1493</f>
        <v>1493</v>
      </c>
      <c r="O310" s="78">
        <f>1279</f>
        <v>1279</v>
      </c>
      <c r="P310" s="65"/>
      <c r="Q310" s="26">
        <f>629.9</f>
        <v>629.9</v>
      </c>
      <c r="R310" s="26"/>
      <c r="S310" s="32">
        <f>-0.1</f>
        <v>-0.1</v>
      </c>
    </row>
    <row r="311" spans="1:19" ht="13" customHeight="1">
      <c r="A311" s="24" t="s">
        <v>309</v>
      </c>
      <c r="B311" s="24" t="s">
        <v>310</v>
      </c>
      <c r="C311" s="73"/>
      <c r="D311" s="39" t="s">
        <v>311</v>
      </c>
      <c r="E311" s="25" t="s">
        <v>257</v>
      </c>
      <c r="F311" s="25" t="s">
        <v>264</v>
      </c>
      <c r="G311" s="25" t="s">
        <v>259</v>
      </c>
      <c r="H311" s="38"/>
      <c r="I311" s="79" t="s">
        <v>317</v>
      </c>
      <c r="J311" s="36" t="s">
        <v>267</v>
      </c>
      <c r="K311" s="75">
        <f>393</f>
        <v>393</v>
      </c>
      <c r="L311" s="64"/>
      <c r="M311" s="65">
        <f>439.1</f>
        <v>439.1</v>
      </c>
      <c r="N311" s="65">
        <f>477.3</f>
        <v>477.3</v>
      </c>
      <c r="O311" s="78">
        <f>505</f>
        <v>505</v>
      </c>
      <c r="P311" s="65"/>
      <c r="Q311" s="26">
        <f>539.7</f>
        <v>539.70000000000005</v>
      </c>
      <c r="R311" s="26"/>
      <c r="S311" s="32">
        <f>547.6</f>
        <v>547.6</v>
      </c>
    </row>
    <row r="312" spans="1:19" ht="13" customHeight="1">
      <c r="A312" s="24" t="s">
        <v>309</v>
      </c>
      <c r="B312" s="24" t="s">
        <v>310</v>
      </c>
      <c r="C312" s="73"/>
      <c r="D312" s="39" t="s">
        <v>311</v>
      </c>
      <c r="E312" s="25" t="s">
        <v>312</v>
      </c>
      <c r="F312" s="25" t="s">
        <v>264</v>
      </c>
      <c r="G312" s="25" t="s">
        <v>265</v>
      </c>
      <c r="H312" s="38"/>
      <c r="I312" s="79" t="s">
        <v>317</v>
      </c>
      <c r="J312" s="36" t="s">
        <v>267</v>
      </c>
      <c r="K312" s="75">
        <f>393</f>
        <v>393</v>
      </c>
      <c r="L312" s="64"/>
      <c r="M312" s="65">
        <f>435.5</f>
        <v>435.5</v>
      </c>
      <c r="N312" s="65">
        <f>438.7</f>
        <v>438.7</v>
      </c>
      <c r="O312" s="65">
        <f>426.8</f>
        <v>426.8</v>
      </c>
      <c r="P312" s="65"/>
      <c r="Q312" s="26">
        <f>392.2</f>
        <v>392.2</v>
      </c>
      <c r="R312" s="26"/>
      <c r="S312" s="32">
        <f>342.5</f>
        <v>342.5</v>
      </c>
    </row>
    <row r="313" spans="1:19" ht="13" customHeight="1">
      <c r="A313" s="24" t="s">
        <v>309</v>
      </c>
      <c r="B313" s="24" t="s">
        <v>310</v>
      </c>
      <c r="C313" s="73"/>
      <c r="D313" s="39" t="s">
        <v>311</v>
      </c>
      <c r="E313" s="25" t="s">
        <v>257</v>
      </c>
      <c r="F313" s="25" t="s">
        <v>264</v>
      </c>
      <c r="G313" s="25" t="s">
        <v>259</v>
      </c>
      <c r="H313" s="38"/>
      <c r="I313" s="80" t="s">
        <v>318</v>
      </c>
      <c r="J313" s="61" t="s">
        <v>319</v>
      </c>
      <c r="K313" s="75">
        <f>396</f>
        <v>396</v>
      </c>
      <c r="L313" s="64"/>
      <c r="M313" s="65">
        <f>468</f>
        <v>468</v>
      </c>
      <c r="N313" s="65">
        <f>524</f>
        <v>524</v>
      </c>
      <c r="O313" s="65">
        <f>576</f>
        <v>576</v>
      </c>
      <c r="P313" s="65"/>
      <c r="Q313" s="26">
        <f>678</f>
        <v>678</v>
      </c>
      <c r="R313" s="26"/>
      <c r="S313" s="32">
        <f>748</f>
        <v>748</v>
      </c>
    </row>
    <row r="314" spans="1:19" ht="13" customHeight="1">
      <c r="A314" s="24" t="s">
        <v>309</v>
      </c>
      <c r="B314" s="24" t="s">
        <v>310</v>
      </c>
      <c r="C314" s="73"/>
      <c r="D314" s="39" t="s">
        <v>311</v>
      </c>
      <c r="E314" s="25" t="s">
        <v>312</v>
      </c>
      <c r="F314" s="25" t="s">
        <v>264</v>
      </c>
      <c r="G314" s="25" t="s">
        <v>265</v>
      </c>
      <c r="H314" s="38"/>
      <c r="I314" s="80" t="s">
        <v>318</v>
      </c>
      <c r="J314" s="36" t="s">
        <v>319</v>
      </c>
      <c r="K314" s="75">
        <f>396</f>
        <v>396</v>
      </c>
      <c r="L314" s="64"/>
      <c r="M314" s="65">
        <f>469</f>
        <v>469</v>
      </c>
      <c r="N314" s="65">
        <f>529</f>
        <v>529</v>
      </c>
      <c r="O314" s="65">
        <f>585</f>
        <v>585</v>
      </c>
      <c r="P314" s="65"/>
      <c r="Q314" s="26">
        <f>695</f>
        <v>695</v>
      </c>
      <c r="R314" s="26"/>
      <c r="S314" s="32">
        <f>768</f>
        <v>768</v>
      </c>
    </row>
    <row r="315" spans="1:19" ht="13" customHeight="1">
      <c r="A315" s="24" t="s">
        <v>309</v>
      </c>
      <c r="B315" s="24" t="s">
        <v>310</v>
      </c>
      <c r="C315" s="73"/>
      <c r="D315" s="39" t="s">
        <v>311</v>
      </c>
      <c r="E315" s="25" t="s">
        <v>257</v>
      </c>
      <c r="F315" s="25" t="s">
        <v>264</v>
      </c>
      <c r="G315" s="25" t="s">
        <v>259</v>
      </c>
      <c r="H315" s="38"/>
      <c r="I315" s="80" t="s">
        <v>320</v>
      </c>
      <c r="J315" s="36" t="s">
        <v>321</v>
      </c>
      <c r="K315" s="75">
        <f>53.7</f>
        <v>53.7</v>
      </c>
      <c r="L315" s="64"/>
      <c r="M315" s="65">
        <f>52.6</f>
        <v>52.6</v>
      </c>
      <c r="N315" s="65">
        <f>56.9</f>
        <v>56.9</v>
      </c>
      <c r="O315" s="65">
        <f>60.3</f>
        <v>60.3</v>
      </c>
      <c r="P315" s="65"/>
      <c r="Q315" s="26">
        <f>65</f>
        <v>65</v>
      </c>
      <c r="R315" s="26"/>
      <c r="S315" s="32">
        <f>68.3</f>
        <v>68.3</v>
      </c>
    </row>
    <row r="316" spans="1:19" ht="13" customHeight="1">
      <c r="A316" s="24" t="s">
        <v>309</v>
      </c>
      <c r="B316" s="24" t="s">
        <v>310</v>
      </c>
      <c r="C316" s="73"/>
      <c r="D316" s="39" t="s">
        <v>311</v>
      </c>
      <c r="E316" s="25" t="s">
        <v>312</v>
      </c>
      <c r="F316" s="25" t="s">
        <v>264</v>
      </c>
      <c r="G316" s="25" t="s">
        <v>265</v>
      </c>
      <c r="H316" s="38"/>
      <c r="I316" s="80" t="s">
        <v>320</v>
      </c>
      <c r="J316" s="36" t="s">
        <v>321</v>
      </c>
      <c r="K316" s="75">
        <f>53.7</f>
        <v>53.7</v>
      </c>
      <c r="L316" s="64"/>
      <c r="M316" s="65">
        <f>52.2</f>
        <v>52.2</v>
      </c>
      <c r="N316" s="65">
        <f>56</f>
        <v>56</v>
      </c>
      <c r="O316" s="65">
        <f>58.8</f>
        <v>58.8</v>
      </c>
      <c r="P316" s="65"/>
      <c r="Q316" s="26">
        <f>62.2</f>
        <v>62.2</v>
      </c>
      <c r="R316" s="26"/>
      <c r="S316" s="32">
        <f>64.4</f>
        <v>64.400000000000006</v>
      </c>
    </row>
    <row r="317" spans="1:19" ht="13" customHeight="1">
      <c r="A317" s="24" t="s">
        <v>309</v>
      </c>
      <c r="B317" s="24" t="s">
        <v>310</v>
      </c>
      <c r="C317" s="73"/>
      <c r="D317" s="39" t="s">
        <v>311</v>
      </c>
      <c r="E317" s="25" t="s">
        <v>257</v>
      </c>
      <c r="F317" s="25" t="s">
        <v>264</v>
      </c>
      <c r="G317" s="25" t="s">
        <v>259</v>
      </c>
      <c r="H317" s="38"/>
      <c r="I317" s="80" t="s">
        <v>322</v>
      </c>
      <c r="J317" s="36" t="s">
        <v>321</v>
      </c>
      <c r="K317" s="75">
        <f>41.1</f>
        <v>41.1</v>
      </c>
      <c r="L317" s="64"/>
      <c r="M317" s="65">
        <f>49.2</f>
        <v>49.2</v>
      </c>
      <c r="N317" s="65">
        <f>51.6</f>
        <v>51.6</v>
      </c>
      <c r="O317" s="65">
        <f>53.6</f>
        <v>53.6</v>
      </c>
      <c r="P317" s="65"/>
      <c r="Q317" s="26">
        <f>56.9</f>
        <v>56.9</v>
      </c>
      <c r="R317" s="26"/>
      <c r="S317" s="32">
        <f>57.6</f>
        <v>57.6</v>
      </c>
    </row>
    <row r="318" spans="1:19" ht="13" customHeight="1">
      <c r="A318" s="24" t="s">
        <v>309</v>
      </c>
      <c r="B318" s="24" t="s">
        <v>310</v>
      </c>
      <c r="C318" s="73"/>
      <c r="D318" s="39" t="s">
        <v>311</v>
      </c>
      <c r="E318" s="25" t="s">
        <v>312</v>
      </c>
      <c r="F318" s="25" t="s">
        <v>264</v>
      </c>
      <c r="G318" s="25" t="s">
        <v>265</v>
      </c>
      <c r="H318" s="38"/>
      <c r="I318" s="80" t="s">
        <v>322</v>
      </c>
      <c r="J318" s="36" t="s">
        <v>321</v>
      </c>
      <c r="K318" s="75">
        <f>41.1</f>
        <v>41.1</v>
      </c>
      <c r="L318" s="64"/>
      <c r="M318" s="65">
        <f>48.9</f>
        <v>48.9</v>
      </c>
      <c r="N318" s="65">
        <v>50.3</v>
      </c>
      <c r="O318" s="65">
        <f>51.2</f>
        <v>51.2</v>
      </c>
      <c r="P318" s="65"/>
      <c r="Q318" s="26">
        <f>52.1</f>
        <v>52.1</v>
      </c>
      <c r="R318" s="26"/>
      <c r="S318" s="32">
        <f>51.1</f>
        <v>51.1</v>
      </c>
    </row>
    <row r="319" spans="1:19" ht="13" customHeight="1">
      <c r="A319" s="24" t="s">
        <v>309</v>
      </c>
      <c r="B319" s="24" t="s">
        <v>310</v>
      </c>
      <c r="C319" s="73"/>
      <c r="D319" s="39" t="s">
        <v>311</v>
      </c>
      <c r="E319" s="25" t="s">
        <v>257</v>
      </c>
      <c r="F319" s="25" t="s">
        <v>264</v>
      </c>
      <c r="G319" s="25" t="s">
        <v>259</v>
      </c>
      <c r="H319" s="38"/>
      <c r="I319" s="80" t="s">
        <v>323</v>
      </c>
      <c r="J319" s="36" t="s">
        <v>321</v>
      </c>
      <c r="K319" s="75">
        <f>25.4</f>
        <v>25.4</v>
      </c>
      <c r="L319" s="64"/>
      <c r="M319" s="65">
        <v>20.9</v>
      </c>
      <c r="N319" s="65">
        <f>21.8</f>
        <v>21.8</v>
      </c>
      <c r="O319" s="65">
        <f>22.2</f>
        <v>22.2</v>
      </c>
      <c r="P319" s="65"/>
      <c r="Q319" s="26">
        <f>23.2</f>
        <v>23.2</v>
      </c>
      <c r="R319" s="26"/>
      <c r="S319" s="32">
        <f>22.8</f>
        <v>22.8</v>
      </c>
    </row>
    <row r="320" spans="1:19" ht="13" customHeight="1">
      <c r="A320" s="24" t="s">
        <v>309</v>
      </c>
      <c r="B320" s="24" t="s">
        <v>310</v>
      </c>
      <c r="C320" s="73"/>
      <c r="D320" s="39" t="s">
        <v>311</v>
      </c>
      <c r="E320" s="25" t="s">
        <v>312</v>
      </c>
      <c r="F320" s="25" t="s">
        <v>264</v>
      </c>
      <c r="G320" s="25" t="s">
        <v>265</v>
      </c>
      <c r="H320" s="38"/>
      <c r="I320" s="80" t="s">
        <v>323</v>
      </c>
      <c r="J320" s="36" t="s">
        <v>321</v>
      </c>
      <c r="K320" s="75">
        <f>25.4</f>
        <v>25.4</v>
      </c>
      <c r="L320" s="64"/>
      <c r="M320" s="65">
        <f>20.7</f>
        <v>20.7</v>
      </c>
      <c r="N320" s="65">
        <f>20.8</f>
        <v>20.8</v>
      </c>
      <c r="O320" s="65">
        <f>20.4</f>
        <v>20.399999999999999</v>
      </c>
      <c r="P320" s="65"/>
      <c r="Q320" s="26">
        <f>19.8</f>
        <v>19.8</v>
      </c>
      <c r="R320" s="26"/>
      <c r="S320" s="32">
        <f>18.3</f>
        <v>18.3</v>
      </c>
    </row>
    <row r="321" spans="1:19" ht="13" customHeight="1">
      <c r="A321" s="24" t="s">
        <v>309</v>
      </c>
      <c r="B321" s="24" t="s">
        <v>310</v>
      </c>
      <c r="C321" s="73"/>
      <c r="D321" s="39" t="s">
        <v>311</v>
      </c>
      <c r="E321" s="25" t="s">
        <v>257</v>
      </c>
      <c r="F321" s="25" t="s">
        <v>264</v>
      </c>
      <c r="G321" s="25" t="s">
        <v>259</v>
      </c>
      <c r="H321" s="38"/>
      <c r="I321" s="80" t="s">
        <v>324</v>
      </c>
      <c r="J321" s="36" t="s">
        <v>321</v>
      </c>
      <c r="K321" s="75">
        <f>14.4</f>
        <v>14.4</v>
      </c>
      <c r="L321" s="64"/>
      <c r="M321" s="65">
        <f>17.7</f>
        <v>17.7</v>
      </c>
      <c r="N321" s="65">
        <f>18.3</f>
        <v>18.3</v>
      </c>
      <c r="O321" s="65">
        <f>18.9</f>
        <v>18.899999999999999</v>
      </c>
      <c r="P321" s="65"/>
      <c r="Q321" s="26">
        <f>20</f>
        <v>20</v>
      </c>
      <c r="R321" s="26"/>
      <c r="S321" s="32">
        <f>19.8</f>
        <v>19.8</v>
      </c>
    </row>
    <row r="322" spans="1:19" ht="13" customHeight="1">
      <c r="A322" s="24" t="s">
        <v>309</v>
      </c>
      <c r="B322" s="24" t="s">
        <v>310</v>
      </c>
      <c r="C322" s="73"/>
      <c r="D322" s="39" t="s">
        <v>311</v>
      </c>
      <c r="E322" s="25" t="s">
        <v>312</v>
      </c>
      <c r="F322" s="25" t="s">
        <v>264</v>
      </c>
      <c r="G322" s="25" t="s">
        <v>265</v>
      </c>
      <c r="H322" s="38"/>
      <c r="I322" s="80" t="s">
        <v>324</v>
      </c>
      <c r="J322" s="36" t="s">
        <v>321</v>
      </c>
      <c r="K322" s="75">
        <f>14.4</f>
        <v>14.4</v>
      </c>
      <c r="L322" s="64"/>
      <c r="M322" s="65">
        <f>17.5</f>
        <v>17.5</v>
      </c>
      <c r="N322" s="78">
        <f>17.8</f>
        <v>17.8</v>
      </c>
      <c r="O322" s="78">
        <f>18</f>
        <v>18</v>
      </c>
      <c r="P322" s="65"/>
      <c r="Q322" s="26">
        <f>18.4</f>
        <v>18.399999999999999</v>
      </c>
      <c r="R322" s="26"/>
      <c r="S322" s="32">
        <f>17.8</f>
        <v>17.8</v>
      </c>
    </row>
    <row r="323" spans="1:19" ht="13" customHeight="1">
      <c r="A323" s="24" t="s">
        <v>309</v>
      </c>
      <c r="B323" s="24" t="s">
        <v>310</v>
      </c>
      <c r="C323" s="73"/>
      <c r="D323" s="39" t="s">
        <v>311</v>
      </c>
      <c r="E323" s="25" t="s">
        <v>257</v>
      </c>
      <c r="F323" s="25" t="s">
        <v>264</v>
      </c>
      <c r="G323" s="25" t="s">
        <v>259</v>
      </c>
      <c r="H323" s="38"/>
      <c r="I323" s="80" t="s">
        <v>325</v>
      </c>
      <c r="J323" s="36" t="s">
        <v>319</v>
      </c>
      <c r="K323" s="75">
        <f>144</f>
        <v>144</v>
      </c>
      <c r="L323" s="64"/>
      <c r="M323" s="65">
        <f>147</f>
        <v>147</v>
      </c>
      <c r="N323" s="78">
        <f>166</f>
        <v>166</v>
      </c>
      <c r="O323" s="78">
        <f>174</f>
        <v>174</v>
      </c>
      <c r="P323" s="65"/>
      <c r="Q323" s="26">
        <f>190</f>
        <v>190</v>
      </c>
      <c r="R323" s="26"/>
      <c r="S323" s="32">
        <f>183</f>
        <v>183</v>
      </c>
    </row>
    <row r="324" spans="1:19" ht="13" customHeight="1">
      <c r="A324" s="24" t="s">
        <v>309</v>
      </c>
      <c r="B324" s="24" t="s">
        <v>310</v>
      </c>
      <c r="C324" s="73"/>
      <c r="D324" s="39" t="s">
        <v>311</v>
      </c>
      <c r="E324" s="25" t="s">
        <v>312</v>
      </c>
      <c r="F324" s="25" t="s">
        <v>264</v>
      </c>
      <c r="G324" s="25" t="s">
        <v>265</v>
      </c>
      <c r="H324" s="38"/>
      <c r="I324" s="80" t="s">
        <v>325</v>
      </c>
      <c r="J324" s="36" t="s">
        <v>319</v>
      </c>
      <c r="K324" s="75">
        <f>144</f>
        <v>144</v>
      </c>
      <c r="L324" s="64"/>
      <c r="M324" s="65">
        <f>149</f>
        <v>149</v>
      </c>
      <c r="N324" s="78">
        <f>176</f>
        <v>176</v>
      </c>
      <c r="O324" s="78">
        <f>194</f>
        <v>194</v>
      </c>
      <c r="P324" s="65"/>
      <c r="Q324" s="26">
        <f>229</f>
        <v>229</v>
      </c>
      <c r="R324" s="26"/>
      <c r="S324" s="32">
        <f>235</f>
        <v>235</v>
      </c>
    </row>
    <row r="325" spans="1:19" ht="13" customHeight="1">
      <c r="A325" s="24" t="s">
        <v>309</v>
      </c>
      <c r="B325" s="24" t="s">
        <v>310</v>
      </c>
      <c r="C325" s="73"/>
      <c r="D325" s="39" t="s">
        <v>311</v>
      </c>
      <c r="E325" s="25" t="s">
        <v>257</v>
      </c>
      <c r="F325" s="25" t="s">
        <v>264</v>
      </c>
      <c r="G325" s="25" t="s">
        <v>259</v>
      </c>
      <c r="H325" s="38"/>
      <c r="I325" s="80" t="s">
        <v>326</v>
      </c>
      <c r="J325" s="36" t="s">
        <v>321</v>
      </c>
      <c r="K325" s="75">
        <f>11.3</f>
        <v>11.3</v>
      </c>
      <c r="L325" s="64"/>
      <c r="M325" s="65">
        <f>8.4</f>
        <v>8.4</v>
      </c>
      <c r="N325" s="78">
        <f>8.4</f>
        <v>8.4</v>
      </c>
      <c r="O325" s="78">
        <f>8.5</f>
        <v>8.5</v>
      </c>
      <c r="P325" s="65"/>
      <c r="Q325" s="26">
        <f>8.5</f>
        <v>8.5</v>
      </c>
      <c r="R325" s="26"/>
      <c r="S325" s="32">
        <f>8.4</f>
        <v>8.4</v>
      </c>
    </row>
    <row r="326" spans="1:19" ht="13" customHeight="1">
      <c r="A326" s="24" t="s">
        <v>309</v>
      </c>
      <c r="B326" s="24" t="s">
        <v>310</v>
      </c>
      <c r="C326" s="73"/>
      <c r="D326" s="39" t="s">
        <v>311</v>
      </c>
      <c r="E326" s="25" t="s">
        <v>312</v>
      </c>
      <c r="F326" s="25" t="s">
        <v>264</v>
      </c>
      <c r="G326" s="25" t="s">
        <v>265</v>
      </c>
      <c r="H326" s="38"/>
      <c r="I326" s="80" t="s">
        <v>326</v>
      </c>
      <c r="J326" s="36" t="s">
        <v>321</v>
      </c>
      <c r="K326" s="75">
        <f>11.3</f>
        <v>11.3</v>
      </c>
      <c r="L326" s="64"/>
      <c r="M326" s="65">
        <f>8.4</f>
        <v>8.4</v>
      </c>
      <c r="N326" s="65">
        <f>8.4</f>
        <v>8.4</v>
      </c>
      <c r="O326" s="65">
        <f>8.4</f>
        <v>8.4</v>
      </c>
      <c r="P326" s="65"/>
      <c r="Q326" s="65">
        <f>8.4</f>
        <v>8.4</v>
      </c>
      <c r="R326" s="26"/>
      <c r="S326" s="81">
        <f>8.3</f>
        <v>8.3000000000000007</v>
      </c>
    </row>
    <row r="327" spans="1:19" ht="13" customHeight="1">
      <c r="A327" s="24" t="s">
        <v>309</v>
      </c>
      <c r="B327" s="24" t="s">
        <v>310</v>
      </c>
      <c r="C327" s="73"/>
      <c r="D327" s="39" t="s">
        <v>311</v>
      </c>
      <c r="E327" s="25" t="s">
        <v>257</v>
      </c>
      <c r="F327" s="25" t="s">
        <v>264</v>
      </c>
      <c r="G327" s="25" t="s">
        <v>259</v>
      </c>
      <c r="H327" s="38"/>
      <c r="I327" s="80" t="s">
        <v>327</v>
      </c>
      <c r="J327" s="36" t="s">
        <v>321</v>
      </c>
      <c r="K327" s="75">
        <f>6.8</f>
        <v>6.8</v>
      </c>
      <c r="L327" s="64"/>
      <c r="M327" s="65">
        <f>7.2</f>
        <v>7.2</v>
      </c>
      <c r="N327" s="65">
        <f>7.9</f>
        <v>7.9</v>
      </c>
      <c r="O327" s="65">
        <f>8.1</f>
        <v>8.1</v>
      </c>
      <c r="P327" s="65"/>
      <c r="Q327" s="65">
        <f>8.2</f>
        <v>8.1999999999999993</v>
      </c>
      <c r="R327" s="26"/>
      <c r="S327" s="81">
        <f>7.7</f>
        <v>7.7</v>
      </c>
    </row>
    <row r="328" spans="1:19" ht="13" customHeight="1">
      <c r="A328" s="24" t="s">
        <v>309</v>
      </c>
      <c r="B328" s="24" t="s">
        <v>310</v>
      </c>
      <c r="C328" s="73"/>
      <c r="D328" s="39" t="s">
        <v>311</v>
      </c>
      <c r="E328" s="25" t="s">
        <v>312</v>
      </c>
      <c r="F328" s="25" t="s">
        <v>264</v>
      </c>
      <c r="G328" s="25" t="s">
        <v>265</v>
      </c>
      <c r="H328" s="38"/>
      <c r="I328" s="80" t="s">
        <v>327</v>
      </c>
      <c r="J328" s="36" t="s">
        <v>321</v>
      </c>
      <c r="K328" s="75">
        <f>6.8</f>
        <v>6.8</v>
      </c>
      <c r="L328" s="64"/>
      <c r="M328" s="65">
        <f>7.2</f>
        <v>7.2</v>
      </c>
      <c r="N328" s="65">
        <f>7.5</f>
        <v>7.5</v>
      </c>
      <c r="O328" s="65">
        <f>7.4</f>
        <v>7.4</v>
      </c>
      <c r="P328" s="65"/>
      <c r="Q328" s="65">
        <f>6.9</f>
        <v>6.9</v>
      </c>
      <c r="R328" s="26"/>
      <c r="S328" s="81">
        <f>5.9</f>
        <v>5.9</v>
      </c>
    </row>
    <row r="329" spans="1:19" ht="13" customHeight="1">
      <c r="A329" s="24" t="s">
        <v>309</v>
      </c>
      <c r="B329" s="24" t="s">
        <v>310</v>
      </c>
      <c r="C329" s="73"/>
      <c r="D329" s="39" t="s">
        <v>311</v>
      </c>
      <c r="E329" s="25" t="s">
        <v>257</v>
      </c>
      <c r="F329" s="25" t="s">
        <v>264</v>
      </c>
      <c r="G329" s="25" t="s">
        <v>259</v>
      </c>
      <c r="H329" s="38"/>
      <c r="I329" s="80" t="s">
        <v>328</v>
      </c>
      <c r="J329" s="36" t="s">
        <v>321</v>
      </c>
      <c r="K329" s="75">
        <f>9.5</f>
        <v>9.5</v>
      </c>
      <c r="L329" s="64"/>
      <c r="M329" s="65">
        <f>7.2</f>
        <v>7.2</v>
      </c>
      <c r="N329" s="65">
        <f>7.8</f>
        <v>7.8</v>
      </c>
      <c r="O329" s="65">
        <f>7.8</f>
        <v>7.8</v>
      </c>
      <c r="P329" s="65"/>
      <c r="Q329" s="65">
        <f>7.8</f>
        <v>7.8</v>
      </c>
      <c r="R329" s="26"/>
      <c r="S329" s="81">
        <f>7.1</f>
        <v>7.1</v>
      </c>
    </row>
    <row r="330" spans="1:19" ht="13" customHeight="1">
      <c r="A330" s="24" t="s">
        <v>309</v>
      </c>
      <c r="B330" s="24" t="s">
        <v>310</v>
      </c>
      <c r="C330" s="73"/>
      <c r="D330" s="39" t="s">
        <v>311</v>
      </c>
      <c r="E330" s="25" t="s">
        <v>312</v>
      </c>
      <c r="F330" s="25" t="s">
        <v>264</v>
      </c>
      <c r="G330" s="25" t="s">
        <v>265</v>
      </c>
      <c r="H330" s="38"/>
      <c r="I330" s="80" t="s">
        <v>328</v>
      </c>
      <c r="J330" s="36" t="s">
        <v>321</v>
      </c>
      <c r="K330" s="75">
        <f>9.5</f>
        <v>9.5</v>
      </c>
      <c r="L330" s="64"/>
      <c r="M330" s="65">
        <f>7</f>
        <v>7</v>
      </c>
      <c r="N330" s="65">
        <f>7.1</f>
        <v>7.1</v>
      </c>
      <c r="O330" s="65">
        <f>6.5</f>
        <v>6.5</v>
      </c>
      <c r="P330" s="65"/>
      <c r="Q330" s="65">
        <f>1.3</f>
        <v>1.3</v>
      </c>
      <c r="R330" s="26"/>
      <c r="S330" s="81">
        <f>3.7</f>
        <v>3.7</v>
      </c>
    </row>
    <row r="331" spans="1:19" ht="13" customHeight="1">
      <c r="A331" s="24" t="s">
        <v>309</v>
      </c>
      <c r="B331" s="24" t="s">
        <v>310</v>
      </c>
      <c r="C331" s="73"/>
      <c r="D331" s="39" t="s">
        <v>311</v>
      </c>
      <c r="E331" s="25" t="s">
        <v>257</v>
      </c>
      <c r="F331" s="25" t="s">
        <v>264</v>
      </c>
      <c r="G331" s="25" t="s">
        <v>259</v>
      </c>
      <c r="H331" s="38"/>
      <c r="I331" s="80" t="s">
        <v>329</v>
      </c>
      <c r="J331" s="36" t="s">
        <v>321</v>
      </c>
      <c r="K331" s="75">
        <f>1.6</f>
        <v>1.6</v>
      </c>
      <c r="L331" s="64"/>
      <c r="M331" s="65">
        <f>1.2</f>
        <v>1.2</v>
      </c>
      <c r="N331" s="78">
        <f>1.3</f>
        <v>1.3</v>
      </c>
      <c r="O331" s="78">
        <f>1.3</f>
        <v>1.3</v>
      </c>
      <c r="P331" s="65"/>
      <c r="Q331" s="34">
        <f>1.3</f>
        <v>1.3</v>
      </c>
      <c r="R331" s="26"/>
      <c r="S331" s="32">
        <f>1.2</f>
        <v>1.2</v>
      </c>
    </row>
    <row r="332" spans="1:19" ht="13" customHeight="1">
      <c r="A332" s="24" t="s">
        <v>309</v>
      </c>
      <c r="B332" s="24" t="s">
        <v>310</v>
      </c>
      <c r="C332" s="73"/>
      <c r="D332" s="39" t="s">
        <v>311</v>
      </c>
      <c r="E332" s="25" t="s">
        <v>312</v>
      </c>
      <c r="F332" s="25" t="s">
        <v>264</v>
      </c>
      <c r="G332" s="25" t="s">
        <v>265</v>
      </c>
      <c r="H332" s="38"/>
      <c r="I332" s="80" t="s">
        <v>329</v>
      </c>
      <c r="J332" s="36" t="s">
        <v>321</v>
      </c>
      <c r="K332" s="75">
        <f>1.6</f>
        <v>1.6</v>
      </c>
      <c r="L332" s="64"/>
      <c r="M332" s="65">
        <f>1.2</f>
        <v>1.2</v>
      </c>
      <c r="N332" s="78">
        <f>1.2</f>
        <v>1.2</v>
      </c>
      <c r="O332" s="78">
        <f>1.1</f>
        <v>1.1000000000000001</v>
      </c>
      <c r="P332" s="65"/>
      <c r="Q332" s="34">
        <f>1</f>
        <v>1</v>
      </c>
      <c r="R332" s="26"/>
      <c r="S332" s="32">
        <f>0.8</f>
        <v>0.8</v>
      </c>
    </row>
    <row r="333" spans="1:19" ht="13" customHeight="1">
      <c r="A333" s="24" t="s">
        <v>309</v>
      </c>
      <c r="B333" s="24" t="s">
        <v>310</v>
      </c>
      <c r="C333" s="73"/>
      <c r="D333" s="39" t="s">
        <v>311</v>
      </c>
      <c r="E333" s="25" t="s">
        <v>257</v>
      </c>
      <c r="F333" s="25" t="s">
        <v>264</v>
      </c>
      <c r="G333" s="25" t="s">
        <v>259</v>
      </c>
      <c r="H333" s="38"/>
      <c r="I333" s="80" t="s">
        <v>330</v>
      </c>
      <c r="J333" s="36" t="s">
        <v>319</v>
      </c>
      <c r="K333" s="75">
        <f>45</f>
        <v>45</v>
      </c>
      <c r="L333" s="64"/>
      <c r="M333" s="65">
        <f>51</f>
        <v>51</v>
      </c>
      <c r="N333" s="78">
        <f>57</f>
        <v>57</v>
      </c>
      <c r="O333" s="78">
        <f>61</f>
        <v>61</v>
      </c>
      <c r="P333" s="65"/>
      <c r="Q333" s="34">
        <f>71</f>
        <v>71</v>
      </c>
      <c r="R333" s="26"/>
      <c r="S333" s="32">
        <f>81</f>
        <v>81</v>
      </c>
    </row>
    <row r="334" spans="1:19" ht="13" customHeight="1">
      <c r="A334" s="24" t="s">
        <v>309</v>
      </c>
      <c r="B334" s="24" t="s">
        <v>310</v>
      </c>
      <c r="C334" s="73"/>
      <c r="D334" s="39" t="s">
        <v>311</v>
      </c>
      <c r="E334" s="25" t="s">
        <v>312</v>
      </c>
      <c r="F334" s="25" t="s">
        <v>264</v>
      </c>
      <c r="G334" s="25" t="s">
        <v>265</v>
      </c>
      <c r="H334" s="38"/>
      <c r="I334" s="80" t="s">
        <v>330</v>
      </c>
      <c r="J334" s="36" t="s">
        <v>319</v>
      </c>
      <c r="K334" s="75">
        <f>45</f>
        <v>45</v>
      </c>
      <c r="L334" s="64"/>
      <c r="M334" s="65">
        <f>51</f>
        <v>51</v>
      </c>
      <c r="N334" s="78">
        <f>56</f>
        <v>56</v>
      </c>
      <c r="O334" s="78">
        <f>61</f>
        <v>61</v>
      </c>
      <c r="P334" s="65"/>
      <c r="Q334" s="34">
        <f>69</f>
        <v>69</v>
      </c>
      <c r="R334" s="26"/>
      <c r="S334" s="32">
        <f>79</f>
        <v>79</v>
      </c>
    </row>
    <row r="335" spans="1:19" ht="13" customHeight="1">
      <c r="A335" s="24" t="s">
        <v>309</v>
      </c>
      <c r="B335" s="24" t="s">
        <v>310</v>
      </c>
      <c r="C335" s="73"/>
      <c r="D335" s="39" t="s">
        <v>311</v>
      </c>
      <c r="E335" s="25" t="s">
        <v>257</v>
      </c>
      <c r="F335" s="25" t="s">
        <v>264</v>
      </c>
      <c r="G335" s="25" t="s">
        <v>259</v>
      </c>
      <c r="H335" s="38"/>
      <c r="I335" s="80" t="s">
        <v>331</v>
      </c>
      <c r="J335" s="36" t="s">
        <v>321</v>
      </c>
      <c r="K335" s="75">
        <f>20.7</f>
        <v>20.7</v>
      </c>
      <c r="L335" s="64"/>
      <c r="M335" s="65">
        <f>21.4</f>
        <v>21.4</v>
      </c>
      <c r="N335" s="78">
        <f>23.7</f>
        <v>23.7</v>
      </c>
      <c r="O335" s="78">
        <f>25.3</f>
        <v>25.3</v>
      </c>
      <c r="P335" s="65"/>
      <c r="Q335" s="34">
        <f>27.7</f>
        <v>27.7</v>
      </c>
      <c r="R335" s="26"/>
      <c r="S335" s="32">
        <f>30.6</f>
        <v>30.6</v>
      </c>
    </row>
    <row r="336" spans="1:19" ht="13" customHeight="1">
      <c r="A336" s="24" t="s">
        <v>309</v>
      </c>
      <c r="B336" s="24" t="s">
        <v>310</v>
      </c>
      <c r="C336" s="73"/>
      <c r="D336" s="39" t="s">
        <v>311</v>
      </c>
      <c r="E336" s="25" t="s">
        <v>312</v>
      </c>
      <c r="F336" s="25" t="s">
        <v>264</v>
      </c>
      <c r="G336" s="25" t="s">
        <v>265</v>
      </c>
      <c r="H336" s="38"/>
      <c r="I336" s="80" t="s">
        <v>331</v>
      </c>
      <c r="J336" s="36" t="s">
        <v>321</v>
      </c>
      <c r="K336" s="75">
        <f>20.7</f>
        <v>20.7</v>
      </c>
      <c r="L336" s="64"/>
      <c r="M336" s="65">
        <f>21.3</f>
        <v>21.3</v>
      </c>
      <c r="N336" s="78">
        <f>23.3</f>
        <v>23.3</v>
      </c>
      <c r="O336" s="78">
        <f>24.7</f>
        <v>24.7</v>
      </c>
      <c r="P336" s="65"/>
      <c r="Q336" s="34">
        <f>26.6</f>
        <v>26.6</v>
      </c>
      <c r="R336" s="26"/>
      <c r="S336" s="32">
        <f>29.1</f>
        <v>29.1</v>
      </c>
    </row>
    <row r="337" spans="1:19" ht="13" customHeight="1">
      <c r="A337" s="24" t="s">
        <v>309</v>
      </c>
      <c r="B337" s="24" t="s">
        <v>310</v>
      </c>
      <c r="C337" s="73"/>
      <c r="D337" s="39" t="s">
        <v>311</v>
      </c>
      <c r="E337" s="25" t="s">
        <v>257</v>
      </c>
      <c r="F337" s="25" t="s">
        <v>264</v>
      </c>
      <c r="G337" s="25" t="s">
        <v>259</v>
      </c>
      <c r="H337" s="38"/>
      <c r="I337" s="80" t="s">
        <v>332</v>
      </c>
      <c r="J337" s="36" t="s">
        <v>321</v>
      </c>
      <c r="K337" s="75">
        <f>5.9</f>
        <v>5.9</v>
      </c>
      <c r="L337" s="64"/>
      <c r="M337" s="65">
        <f>6.6</f>
        <v>6.6</v>
      </c>
      <c r="N337" s="78">
        <f>7.2</f>
        <v>7.2</v>
      </c>
      <c r="O337" s="78">
        <f>7.6</f>
        <v>7.6</v>
      </c>
      <c r="P337" s="65"/>
      <c r="Q337" s="34">
        <f>7.7</f>
        <v>7.7</v>
      </c>
      <c r="R337" s="26"/>
      <c r="S337" s="32">
        <f>8</f>
        <v>8</v>
      </c>
    </row>
    <row r="338" spans="1:19" ht="13" customHeight="1">
      <c r="A338" s="24" t="s">
        <v>309</v>
      </c>
      <c r="B338" s="24" t="s">
        <v>310</v>
      </c>
      <c r="C338" s="73"/>
      <c r="D338" s="39" t="s">
        <v>311</v>
      </c>
      <c r="E338" s="25" t="s">
        <v>312</v>
      </c>
      <c r="F338" s="25" t="s">
        <v>264</v>
      </c>
      <c r="G338" s="25" t="s">
        <v>265</v>
      </c>
      <c r="H338" s="38"/>
      <c r="I338" s="80" t="s">
        <v>332</v>
      </c>
      <c r="J338" s="36" t="s">
        <v>321</v>
      </c>
      <c r="K338" s="75">
        <f>5.9</f>
        <v>5.9</v>
      </c>
      <c r="L338" s="64"/>
      <c r="M338" s="65">
        <f>6.6</f>
        <v>6.6</v>
      </c>
      <c r="N338" s="78">
        <f>6.8</f>
        <v>6.8</v>
      </c>
      <c r="O338" s="78">
        <f>6.8</f>
        <v>6.8</v>
      </c>
      <c r="P338" s="65"/>
      <c r="Q338" s="34">
        <f>6.2</f>
        <v>6.2</v>
      </c>
      <c r="R338" s="26"/>
      <c r="S338" s="32">
        <f>6</f>
        <v>6</v>
      </c>
    </row>
    <row r="339" spans="1:19" ht="13" customHeight="1">
      <c r="A339" s="24" t="s">
        <v>309</v>
      </c>
      <c r="B339" s="24" t="s">
        <v>310</v>
      </c>
      <c r="C339" s="73"/>
      <c r="D339" s="39" t="s">
        <v>311</v>
      </c>
      <c r="E339" s="25" t="s">
        <v>257</v>
      </c>
      <c r="F339" s="25" t="s">
        <v>264</v>
      </c>
      <c r="G339" s="25" t="s">
        <v>259</v>
      </c>
      <c r="H339" s="38"/>
      <c r="I339" s="80" t="s">
        <v>333</v>
      </c>
      <c r="J339" s="36" t="s">
        <v>321</v>
      </c>
      <c r="K339" s="75">
        <f>1.7</f>
        <v>1.7</v>
      </c>
      <c r="L339" s="64"/>
      <c r="M339" s="65">
        <f>1.8</f>
        <v>1.8</v>
      </c>
      <c r="N339" s="78">
        <f>2.1</f>
        <v>2.1</v>
      </c>
      <c r="O339" s="78">
        <f>2.3</f>
        <v>2.2999999999999998</v>
      </c>
      <c r="P339" s="65"/>
      <c r="Q339" s="34">
        <f>3</f>
        <v>3</v>
      </c>
      <c r="R339" s="26"/>
      <c r="S339" s="32">
        <f>3.7</f>
        <v>3.7</v>
      </c>
    </row>
    <row r="340" spans="1:19" ht="13" customHeight="1">
      <c r="A340" s="24" t="s">
        <v>309</v>
      </c>
      <c r="B340" s="24" t="s">
        <v>310</v>
      </c>
      <c r="C340" s="73"/>
      <c r="D340" s="39" t="s">
        <v>311</v>
      </c>
      <c r="E340" s="25" t="s">
        <v>312</v>
      </c>
      <c r="F340" s="25" t="s">
        <v>264</v>
      </c>
      <c r="G340" s="25" t="s">
        <v>265</v>
      </c>
      <c r="H340" s="38"/>
      <c r="I340" s="80" t="s">
        <v>333</v>
      </c>
      <c r="J340" s="36" t="s">
        <v>321</v>
      </c>
      <c r="K340" s="75">
        <f>1.7</f>
        <v>1.7</v>
      </c>
      <c r="L340" s="64"/>
      <c r="M340" s="65">
        <f>1.8</f>
        <v>1.8</v>
      </c>
      <c r="N340" s="78">
        <f>2</f>
        <v>2</v>
      </c>
      <c r="O340" s="78">
        <f>2.2</f>
        <v>2.2000000000000002</v>
      </c>
      <c r="P340" s="65"/>
      <c r="Q340" s="34">
        <f>2.8</f>
        <v>2.8</v>
      </c>
      <c r="R340" s="26"/>
      <c r="S340" s="32">
        <f>3.4</f>
        <v>3.4</v>
      </c>
    </row>
    <row r="341" spans="1:19" ht="13" customHeight="1">
      <c r="A341" s="24" t="s">
        <v>309</v>
      </c>
      <c r="B341" s="24" t="s">
        <v>310</v>
      </c>
      <c r="C341" s="73"/>
      <c r="D341" s="39" t="s">
        <v>311</v>
      </c>
      <c r="E341" s="25" t="s">
        <v>257</v>
      </c>
      <c r="F341" s="25" t="s">
        <v>264</v>
      </c>
      <c r="G341" s="25" t="s">
        <v>259</v>
      </c>
      <c r="H341" s="38"/>
      <c r="I341" s="80" t="s">
        <v>334</v>
      </c>
      <c r="J341" s="36" t="s">
        <v>321</v>
      </c>
      <c r="K341" s="75">
        <f>0.9</f>
        <v>0.9</v>
      </c>
      <c r="L341" s="64"/>
      <c r="M341" s="65">
        <f>2.3</f>
        <v>2.2999999999999998</v>
      </c>
      <c r="N341" s="78">
        <f>2.6</f>
        <v>2.6</v>
      </c>
      <c r="O341" s="78">
        <f>2.7</f>
        <v>2.7</v>
      </c>
      <c r="P341" s="65"/>
      <c r="Q341" s="34">
        <f>2.9</f>
        <v>2.9</v>
      </c>
      <c r="R341" s="26"/>
      <c r="S341" s="32">
        <f>3.2</f>
        <v>3.2</v>
      </c>
    </row>
    <row r="342" spans="1:19" ht="13" customHeight="1">
      <c r="A342" s="24" t="s">
        <v>309</v>
      </c>
      <c r="B342" s="24" t="s">
        <v>310</v>
      </c>
      <c r="C342" s="73"/>
      <c r="D342" s="39" t="s">
        <v>311</v>
      </c>
      <c r="E342" s="25" t="s">
        <v>312</v>
      </c>
      <c r="F342" s="25" t="s">
        <v>264</v>
      </c>
      <c r="G342" s="25" t="s">
        <v>265</v>
      </c>
      <c r="H342" s="38"/>
      <c r="I342" s="80" t="s">
        <v>334</v>
      </c>
      <c r="J342" s="36" t="s">
        <v>321</v>
      </c>
      <c r="K342" s="75">
        <f>0.9</f>
        <v>0.9</v>
      </c>
      <c r="L342" s="64"/>
      <c r="M342" s="65">
        <f>2.3</f>
        <v>2.2999999999999998</v>
      </c>
      <c r="N342" s="78">
        <f>2.4</f>
        <v>2.4</v>
      </c>
      <c r="O342" s="78">
        <f>2.5</f>
        <v>2.5</v>
      </c>
      <c r="P342" s="65"/>
      <c r="Q342" s="34">
        <f>2.5</f>
        <v>2.5</v>
      </c>
      <c r="R342" s="26"/>
      <c r="S342" s="32">
        <f>2.6</f>
        <v>2.6</v>
      </c>
    </row>
    <row r="343" spans="1:19" ht="13" customHeight="1">
      <c r="A343" s="24" t="s">
        <v>309</v>
      </c>
      <c r="B343" s="24" t="s">
        <v>310</v>
      </c>
      <c r="C343" s="73"/>
      <c r="D343" s="39" t="s">
        <v>311</v>
      </c>
      <c r="E343" s="25" t="s">
        <v>257</v>
      </c>
      <c r="F343" s="25" t="s">
        <v>264</v>
      </c>
      <c r="G343" s="25" t="s">
        <v>259</v>
      </c>
      <c r="H343" s="38"/>
      <c r="I343" s="80" t="s">
        <v>335</v>
      </c>
      <c r="J343" s="36" t="s">
        <v>319</v>
      </c>
      <c r="K343" s="75">
        <f>16</f>
        <v>16</v>
      </c>
      <c r="L343" s="64"/>
      <c r="M343" s="65">
        <f>20</f>
        <v>20</v>
      </c>
      <c r="N343" s="78">
        <f>22</f>
        <v>22</v>
      </c>
      <c r="O343" s="78">
        <f>23</f>
        <v>23</v>
      </c>
      <c r="P343" s="65"/>
      <c r="Q343" s="34">
        <f>26</f>
        <v>26</v>
      </c>
      <c r="R343" s="26"/>
      <c r="S343" s="32">
        <f>28</f>
        <v>28</v>
      </c>
    </row>
    <row r="344" spans="1:19" ht="13" customHeight="1">
      <c r="A344" s="24" t="s">
        <v>309</v>
      </c>
      <c r="B344" s="24" t="s">
        <v>310</v>
      </c>
      <c r="C344" s="73"/>
      <c r="D344" s="39" t="s">
        <v>311</v>
      </c>
      <c r="E344" s="25" t="s">
        <v>312</v>
      </c>
      <c r="F344" s="25" t="s">
        <v>264</v>
      </c>
      <c r="G344" s="25" t="s">
        <v>265</v>
      </c>
      <c r="H344" s="38"/>
      <c r="I344" s="80" t="s">
        <v>335</v>
      </c>
      <c r="J344" s="36" t="s">
        <v>319</v>
      </c>
      <c r="K344" s="75">
        <f>16</f>
        <v>16</v>
      </c>
      <c r="L344" s="64"/>
      <c r="M344" s="65">
        <f>20</f>
        <v>20</v>
      </c>
      <c r="N344" s="78">
        <f>22</f>
        <v>22</v>
      </c>
      <c r="O344" s="78">
        <f>23</f>
        <v>23</v>
      </c>
      <c r="P344" s="65"/>
      <c r="Q344" s="34">
        <f>26</f>
        <v>26</v>
      </c>
      <c r="R344" s="26"/>
      <c r="S344" s="32">
        <f>28</f>
        <v>28</v>
      </c>
    </row>
    <row r="345" spans="1:19" ht="13" customHeight="1">
      <c r="A345" s="24" t="s">
        <v>309</v>
      </c>
      <c r="B345" s="24" t="s">
        <v>310</v>
      </c>
      <c r="C345" s="73"/>
      <c r="D345" s="39" t="s">
        <v>311</v>
      </c>
      <c r="E345" s="25" t="s">
        <v>257</v>
      </c>
      <c r="F345" s="25" t="s">
        <v>264</v>
      </c>
      <c r="G345" s="25" t="s">
        <v>259</v>
      </c>
      <c r="H345" s="38"/>
      <c r="I345" s="80" t="s">
        <v>336</v>
      </c>
      <c r="J345" s="36" t="s">
        <v>321</v>
      </c>
      <c r="K345" s="75">
        <f>3</f>
        <v>3</v>
      </c>
      <c r="L345" s="64"/>
      <c r="M345" s="65">
        <f>3.1</f>
        <v>3.1</v>
      </c>
      <c r="N345" s="78">
        <f>3.2</f>
        <v>3.2</v>
      </c>
      <c r="O345" s="78">
        <f>3.3</f>
        <v>3.3</v>
      </c>
      <c r="P345" s="65"/>
      <c r="Q345" s="34">
        <f>3.4</f>
        <v>3.4</v>
      </c>
      <c r="R345" s="26"/>
      <c r="S345" s="32">
        <f>3.5</f>
        <v>3.5</v>
      </c>
    </row>
    <row r="346" spans="1:19" ht="13" customHeight="1">
      <c r="A346" s="24" t="s">
        <v>309</v>
      </c>
      <c r="B346" s="24" t="s">
        <v>310</v>
      </c>
      <c r="C346" s="73"/>
      <c r="D346" s="39" t="s">
        <v>311</v>
      </c>
      <c r="E346" s="25" t="s">
        <v>312</v>
      </c>
      <c r="F346" s="25" t="s">
        <v>264</v>
      </c>
      <c r="G346" s="25" t="s">
        <v>265</v>
      </c>
      <c r="H346" s="38"/>
      <c r="I346" s="80" t="s">
        <v>336</v>
      </c>
      <c r="J346" s="36" t="s">
        <v>321</v>
      </c>
      <c r="K346" s="75">
        <f>3</f>
        <v>3</v>
      </c>
      <c r="L346" s="64"/>
      <c r="M346" s="65">
        <f>3.1</f>
        <v>3.1</v>
      </c>
      <c r="N346" s="78">
        <f>3.2</f>
        <v>3.2</v>
      </c>
      <c r="O346" s="78">
        <f>3.2</f>
        <v>3.2</v>
      </c>
      <c r="P346" s="65"/>
      <c r="Q346" s="34">
        <f>3.3</f>
        <v>3.3</v>
      </c>
      <c r="R346" s="26"/>
      <c r="S346" s="32">
        <f>3.3</f>
        <v>3.3</v>
      </c>
    </row>
    <row r="347" spans="1:19" ht="13" customHeight="1">
      <c r="A347" s="24" t="s">
        <v>309</v>
      </c>
      <c r="B347" s="24" t="s">
        <v>310</v>
      </c>
      <c r="C347" s="73"/>
      <c r="D347" s="39" t="s">
        <v>311</v>
      </c>
      <c r="E347" s="25" t="s">
        <v>257</v>
      </c>
      <c r="F347" s="25" t="s">
        <v>264</v>
      </c>
      <c r="G347" s="25" t="s">
        <v>259</v>
      </c>
      <c r="H347" s="38"/>
      <c r="I347" s="80" t="s">
        <v>337</v>
      </c>
      <c r="J347" s="36" t="s">
        <v>321</v>
      </c>
      <c r="K347" s="75">
        <f>11.4</f>
        <v>11.4</v>
      </c>
      <c r="L347" s="64"/>
      <c r="M347" s="65">
        <f>12.7</f>
        <v>12.7</v>
      </c>
      <c r="N347" s="78">
        <f>13.1</f>
        <v>13.1</v>
      </c>
      <c r="O347" s="78">
        <f>13.6</f>
        <v>13.6</v>
      </c>
      <c r="P347" s="65"/>
      <c r="Q347" s="34">
        <f>14.3</f>
        <v>14.3</v>
      </c>
      <c r="R347" s="26"/>
      <c r="S347" s="32">
        <f>14.6</f>
        <v>14.6</v>
      </c>
    </row>
    <row r="348" spans="1:19" ht="13" customHeight="1">
      <c r="A348" s="24" t="s">
        <v>309</v>
      </c>
      <c r="B348" s="24" t="s">
        <v>310</v>
      </c>
      <c r="C348" s="73"/>
      <c r="D348" s="39" t="s">
        <v>311</v>
      </c>
      <c r="E348" s="25" t="s">
        <v>312</v>
      </c>
      <c r="F348" s="25" t="s">
        <v>264</v>
      </c>
      <c r="G348" s="25" t="s">
        <v>265</v>
      </c>
      <c r="H348" s="38"/>
      <c r="I348" s="80" t="s">
        <v>337</v>
      </c>
      <c r="J348" s="36" t="s">
        <v>321</v>
      </c>
      <c r="K348" s="75">
        <f>11.4</f>
        <v>11.4</v>
      </c>
      <c r="L348" s="64"/>
      <c r="M348" s="65">
        <f>12.6</f>
        <v>12.6</v>
      </c>
      <c r="N348" s="78">
        <f>13</f>
        <v>13</v>
      </c>
      <c r="O348" s="78">
        <f>13.4</f>
        <v>13.4</v>
      </c>
      <c r="P348" s="65"/>
      <c r="Q348" s="34">
        <f>13.8</f>
        <v>13.8</v>
      </c>
      <c r="R348" s="26"/>
      <c r="S348" s="32">
        <f>13.8</f>
        <v>13.8</v>
      </c>
    </row>
    <row r="349" spans="1:19" ht="13" customHeight="1">
      <c r="A349" s="24" t="s">
        <v>309</v>
      </c>
      <c r="B349" s="24" t="s">
        <v>310</v>
      </c>
      <c r="C349" s="73"/>
      <c r="D349" s="39" t="s">
        <v>311</v>
      </c>
      <c r="E349" s="25" t="s">
        <v>257</v>
      </c>
      <c r="F349" s="25" t="s">
        <v>264</v>
      </c>
      <c r="G349" s="25" t="s">
        <v>259</v>
      </c>
      <c r="H349" s="38"/>
      <c r="I349" s="80" t="s">
        <v>338</v>
      </c>
      <c r="J349" s="36" t="s">
        <v>321</v>
      </c>
      <c r="K349" s="82">
        <f>1</f>
        <v>1</v>
      </c>
      <c r="L349" s="64"/>
      <c r="M349" s="65">
        <f>1.1</f>
        <v>1.1000000000000001</v>
      </c>
      <c r="N349" s="78">
        <f>1.2</f>
        <v>1.2</v>
      </c>
      <c r="O349" s="78">
        <f>1.2</f>
        <v>1.2</v>
      </c>
      <c r="P349" s="65"/>
      <c r="Q349" s="34">
        <f>1.3</f>
        <v>1.3</v>
      </c>
      <c r="R349" s="26"/>
      <c r="S349" s="32">
        <f>1.4</f>
        <v>1.4</v>
      </c>
    </row>
    <row r="350" spans="1:19" ht="13" customHeight="1">
      <c r="A350" s="24" t="s">
        <v>309</v>
      </c>
      <c r="B350" s="24" t="s">
        <v>310</v>
      </c>
      <c r="C350" s="73"/>
      <c r="D350" s="39" t="s">
        <v>311</v>
      </c>
      <c r="E350" s="25" t="s">
        <v>312</v>
      </c>
      <c r="F350" s="25" t="s">
        <v>264</v>
      </c>
      <c r="G350" s="25" t="s">
        <v>265</v>
      </c>
      <c r="H350" s="38"/>
      <c r="I350" s="80" t="s">
        <v>338</v>
      </c>
      <c r="J350" s="36" t="s">
        <v>321</v>
      </c>
      <c r="K350" s="82">
        <f>1</f>
        <v>1</v>
      </c>
      <c r="L350" s="64"/>
      <c r="M350" s="65">
        <f>1.1</f>
        <v>1.1000000000000001</v>
      </c>
      <c r="N350" s="78">
        <f>1.2</f>
        <v>1.2</v>
      </c>
      <c r="O350" s="78">
        <f>1.2</f>
        <v>1.2</v>
      </c>
      <c r="P350" s="65"/>
      <c r="Q350" s="34">
        <f>1.3</f>
        <v>1.3</v>
      </c>
      <c r="R350" s="26"/>
      <c r="S350" s="32">
        <f>1.3</f>
        <v>1.3</v>
      </c>
    </row>
    <row r="351" spans="1:19" ht="13" customHeight="1">
      <c r="A351" s="24" t="s">
        <v>309</v>
      </c>
      <c r="B351" s="24" t="s">
        <v>310</v>
      </c>
      <c r="C351" s="73"/>
      <c r="D351" s="39" t="s">
        <v>311</v>
      </c>
      <c r="E351" s="25" t="s">
        <v>257</v>
      </c>
      <c r="F351" s="25" t="s">
        <v>264</v>
      </c>
      <c r="G351" s="25" t="s">
        <v>259</v>
      </c>
      <c r="H351" s="38"/>
      <c r="I351" s="80" t="s">
        <v>339</v>
      </c>
      <c r="J351" s="36" t="s">
        <v>321</v>
      </c>
      <c r="K351" s="75">
        <f>0.6</f>
        <v>0.6</v>
      </c>
      <c r="L351" s="64"/>
      <c r="M351" s="65">
        <f>0.6</f>
        <v>0.6</v>
      </c>
      <c r="N351" s="78">
        <f>0.6</f>
        <v>0.6</v>
      </c>
      <c r="O351" s="78">
        <f>0.7</f>
        <v>0.7</v>
      </c>
      <c r="P351" s="65"/>
      <c r="Q351" s="34">
        <f>0.7</f>
        <v>0.7</v>
      </c>
      <c r="R351" s="26"/>
      <c r="S351" s="32">
        <f>0.7</f>
        <v>0.7</v>
      </c>
    </row>
    <row r="352" spans="1:19" ht="13" customHeight="1">
      <c r="A352" s="24" t="s">
        <v>309</v>
      </c>
      <c r="B352" s="24" t="s">
        <v>310</v>
      </c>
      <c r="C352" s="73"/>
      <c r="D352" s="39" t="s">
        <v>311</v>
      </c>
      <c r="E352" s="25" t="s">
        <v>312</v>
      </c>
      <c r="F352" s="25" t="s">
        <v>264</v>
      </c>
      <c r="G352" s="25" t="s">
        <v>265</v>
      </c>
      <c r="H352" s="38"/>
      <c r="I352" s="80" t="s">
        <v>339</v>
      </c>
      <c r="J352" s="60" t="s">
        <v>321</v>
      </c>
      <c r="K352" s="75">
        <f>0.6</f>
        <v>0.6</v>
      </c>
      <c r="L352" s="64"/>
      <c r="M352" s="65">
        <f>0.6</f>
        <v>0.6</v>
      </c>
      <c r="N352" s="78">
        <f>0.6</f>
        <v>0.6</v>
      </c>
      <c r="O352" s="78">
        <f>0.6</f>
        <v>0.6</v>
      </c>
      <c r="P352" s="65"/>
      <c r="Q352" s="34">
        <f>0.7</f>
        <v>0.7</v>
      </c>
      <c r="R352" s="26"/>
      <c r="S352" s="32">
        <f>0.7</f>
        <v>0.7</v>
      </c>
    </row>
    <row r="353" spans="1:19" ht="13" customHeight="1">
      <c r="A353" s="24" t="s">
        <v>309</v>
      </c>
      <c r="B353" s="24" t="s">
        <v>310</v>
      </c>
      <c r="C353" s="59"/>
      <c r="D353" s="39" t="s">
        <v>311</v>
      </c>
      <c r="E353" s="25" t="s">
        <v>257</v>
      </c>
      <c r="F353" s="25" t="s">
        <v>264</v>
      </c>
      <c r="G353" s="25" t="s">
        <v>259</v>
      </c>
      <c r="H353" s="38"/>
      <c r="I353" s="56" t="s">
        <v>340</v>
      </c>
      <c r="J353" s="36" t="s">
        <v>267</v>
      </c>
      <c r="K353" s="75">
        <f>143.3</f>
        <v>143.30000000000001</v>
      </c>
      <c r="L353" s="64"/>
      <c r="M353" s="65">
        <f>149.2</f>
        <v>149.19999999999999</v>
      </c>
      <c r="N353" s="65">
        <f>162.1</f>
        <v>162.1</v>
      </c>
      <c r="O353" s="65">
        <f>165</f>
        <v>165</v>
      </c>
      <c r="P353" s="65"/>
      <c r="Q353" s="34">
        <f>169</f>
        <v>169</v>
      </c>
      <c r="R353" s="26"/>
      <c r="S353" s="32">
        <f>158</f>
        <v>158</v>
      </c>
    </row>
    <row r="354" spans="1:19" ht="13" customHeight="1">
      <c r="A354" s="24" t="s">
        <v>309</v>
      </c>
      <c r="B354" s="24" t="s">
        <v>310</v>
      </c>
      <c r="C354" s="73"/>
      <c r="D354" s="39" t="s">
        <v>311</v>
      </c>
      <c r="E354" s="76" t="s">
        <v>312</v>
      </c>
      <c r="F354" s="76" t="s">
        <v>264</v>
      </c>
      <c r="G354" s="25" t="s">
        <v>265</v>
      </c>
      <c r="H354" s="38"/>
      <c r="I354" s="56" t="s">
        <v>340</v>
      </c>
      <c r="J354" s="36" t="s">
        <v>267</v>
      </c>
      <c r="K354" s="75">
        <f>143.3</f>
        <v>143.30000000000001</v>
      </c>
      <c r="L354" s="64"/>
      <c r="M354" s="65">
        <f>146.7</f>
        <v>146.69999999999999</v>
      </c>
      <c r="N354" s="65">
        <f>145.6</f>
        <v>145.6</v>
      </c>
      <c r="O354" s="65">
        <f>133</f>
        <v>133</v>
      </c>
      <c r="P354" s="65"/>
      <c r="Q354" s="26">
        <f>107.3</f>
        <v>107.3</v>
      </c>
      <c r="R354" s="26"/>
      <c r="S354" s="32">
        <f>70.5</f>
        <v>70.5</v>
      </c>
    </row>
    <row r="355" spans="1:19" ht="13" customHeight="1">
      <c r="A355" s="24" t="s">
        <v>309</v>
      </c>
      <c r="B355" s="24" t="s">
        <v>310</v>
      </c>
      <c r="C355" s="59"/>
      <c r="D355" s="39" t="s">
        <v>311</v>
      </c>
      <c r="E355" s="25" t="s">
        <v>257</v>
      </c>
      <c r="F355" s="25" t="s">
        <v>264</v>
      </c>
      <c r="G355" s="25" t="s">
        <v>259</v>
      </c>
      <c r="H355" s="38"/>
      <c r="I355" s="28" t="s">
        <v>341</v>
      </c>
      <c r="J355" s="83" t="s">
        <v>141</v>
      </c>
      <c r="K355" s="75">
        <f>58.3</f>
        <v>58.3</v>
      </c>
      <c r="L355" s="64"/>
      <c r="M355" s="65">
        <f>111.1</f>
        <v>111.1</v>
      </c>
      <c r="N355" s="65">
        <f>122.5</f>
        <v>122.5</v>
      </c>
      <c r="O355" s="65">
        <f>126.9</f>
        <v>126.9</v>
      </c>
      <c r="P355" s="65"/>
      <c r="Q355" s="26">
        <f>135.4</f>
        <v>135.4</v>
      </c>
      <c r="R355" s="26"/>
      <c r="S355" s="32">
        <f>122.8</f>
        <v>122.8</v>
      </c>
    </row>
    <row r="356" spans="1:19" ht="13" customHeight="1">
      <c r="A356" s="24" t="s">
        <v>309</v>
      </c>
      <c r="B356" s="24" t="s">
        <v>310</v>
      </c>
      <c r="C356" s="73"/>
      <c r="D356" s="39" t="s">
        <v>311</v>
      </c>
      <c r="E356" s="25" t="s">
        <v>312</v>
      </c>
      <c r="F356" s="25" t="s">
        <v>264</v>
      </c>
      <c r="G356" s="25" t="s">
        <v>265</v>
      </c>
      <c r="H356" s="38"/>
      <c r="I356" s="28" t="s">
        <v>341</v>
      </c>
      <c r="J356" s="29" t="s">
        <v>141</v>
      </c>
      <c r="K356" s="75">
        <f>58.3</f>
        <v>58.3</v>
      </c>
      <c r="L356" s="64"/>
      <c r="M356" s="65">
        <f>109.1</f>
        <v>109.1</v>
      </c>
      <c r="N356" s="65">
        <f>112.1</f>
        <v>112.1</v>
      </c>
      <c r="O356" s="65">
        <f>107.3</f>
        <v>107.3</v>
      </c>
      <c r="P356" s="65"/>
      <c r="Q356" s="26">
        <f>94.6</f>
        <v>94.6</v>
      </c>
      <c r="R356" s="26"/>
      <c r="S356" s="32">
        <f>63.7</f>
        <v>63.7</v>
      </c>
    </row>
    <row r="357" spans="1:19" ht="13" customHeight="1">
      <c r="A357" s="24" t="s">
        <v>309</v>
      </c>
      <c r="B357" s="24" t="s">
        <v>310</v>
      </c>
      <c r="C357" s="59"/>
      <c r="D357" s="39" t="s">
        <v>311</v>
      </c>
      <c r="E357" s="25" t="s">
        <v>257</v>
      </c>
      <c r="F357" s="25" t="s">
        <v>264</v>
      </c>
      <c r="G357" s="25" t="s">
        <v>259</v>
      </c>
      <c r="H357" s="38"/>
      <c r="I357" s="50" t="s">
        <v>342</v>
      </c>
      <c r="J357" s="36" t="s">
        <v>343</v>
      </c>
      <c r="K357" s="75">
        <f>225.9</f>
        <v>225.9</v>
      </c>
      <c r="L357" s="64"/>
      <c r="M357" s="65">
        <f>201.9</f>
        <v>201.9</v>
      </c>
      <c r="N357" s="65">
        <f>196.8</f>
        <v>196.8</v>
      </c>
      <c r="O357" s="65">
        <f>192.3</f>
        <v>192.3</v>
      </c>
      <c r="P357" s="65"/>
      <c r="Q357" s="26">
        <f>183</f>
        <v>183</v>
      </c>
      <c r="R357" s="26"/>
      <c r="S357" s="32">
        <f>173.8</f>
        <v>173.8</v>
      </c>
    </row>
    <row r="358" spans="1:19" ht="13" customHeight="1">
      <c r="A358" s="24" t="s">
        <v>309</v>
      </c>
      <c r="B358" s="24" t="s">
        <v>310</v>
      </c>
      <c r="C358" s="73"/>
      <c r="D358" s="39" t="s">
        <v>311</v>
      </c>
      <c r="E358" s="25" t="s">
        <v>312</v>
      </c>
      <c r="F358" s="25" t="s">
        <v>264</v>
      </c>
      <c r="G358" s="25" t="s">
        <v>265</v>
      </c>
      <c r="H358" s="38"/>
      <c r="I358" s="50" t="s">
        <v>342</v>
      </c>
      <c r="J358" s="36" t="s">
        <v>343</v>
      </c>
      <c r="K358" s="75">
        <f>225.9</f>
        <v>225.9</v>
      </c>
      <c r="L358" s="64"/>
      <c r="M358" s="65">
        <f>201.9</f>
        <v>201.9</v>
      </c>
      <c r="N358" s="65">
        <f>192.9</f>
        <v>192.9</v>
      </c>
      <c r="O358" s="65">
        <f>182.8</f>
        <v>182.8</v>
      </c>
      <c r="P358" s="65"/>
      <c r="Q358" s="26">
        <f>164.9</f>
        <v>164.9</v>
      </c>
      <c r="R358" s="26"/>
      <c r="S358" s="32">
        <f>139.3</f>
        <v>139.30000000000001</v>
      </c>
    </row>
    <row r="359" spans="1:19" ht="13" customHeight="1">
      <c r="A359" s="24" t="s">
        <v>309</v>
      </c>
      <c r="B359" s="24" t="s">
        <v>310</v>
      </c>
      <c r="C359" s="59"/>
      <c r="D359" s="39" t="s">
        <v>311</v>
      </c>
      <c r="E359" s="25" t="s">
        <v>257</v>
      </c>
      <c r="F359" s="25" t="s">
        <v>264</v>
      </c>
      <c r="G359" s="25" t="s">
        <v>259</v>
      </c>
      <c r="H359" s="38"/>
      <c r="I359" s="28" t="s">
        <v>344</v>
      </c>
      <c r="J359" s="29" t="s">
        <v>141</v>
      </c>
      <c r="K359" s="75">
        <f>39.2</f>
        <v>39.200000000000003</v>
      </c>
      <c r="L359" s="64"/>
      <c r="M359" s="65">
        <f>33.7</f>
        <v>33.700000000000003</v>
      </c>
      <c r="N359" s="65">
        <f>38.9</f>
        <v>38.9</v>
      </c>
      <c r="O359" s="65">
        <f>42.2</f>
        <v>42.2</v>
      </c>
      <c r="P359" s="65"/>
      <c r="Q359" s="26">
        <f>49.3</f>
        <v>49.3</v>
      </c>
      <c r="R359" s="26"/>
      <c r="S359" s="32">
        <f>53.2</f>
        <v>53.2</v>
      </c>
    </row>
    <row r="360" spans="1:19" ht="13" customHeight="1">
      <c r="A360" s="24" t="s">
        <v>309</v>
      </c>
      <c r="B360" s="24" t="s">
        <v>310</v>
      </c>
      <c r="C360" s="73"/>
      <c r="D360" s="39" t="s">
        <v>311</v>
      </c>
      <c r="E360" s="25" t="s">
        <v>312</v>
      </c>
      <c r="F360" s="25" t="s">
        <v>264</v>
      </c>
      <c r="G360" s="25" t="s">
        <v>265</v>
      </c>
      <c r="H360" s="38"/>
      <c r="I360" s="28" t="s">
        <v>344</v>
      </c>
      <c r="J360" s="29" t="s">
        <v>141</v>
      </c>
      <c r="K360" s="75">
        <f>39.2</f>
        <v>39.200000000000003</v>
      </c>
      <c r="L360" s="64"/>
      <c r="M360" s="65">
        <f>34.8</f>
        <v>34.799999999999997</v>
      </c>
      <c r="N360" s="65">
        <f>44.2</f>
        <v>44.2</v>
      </c>
      <c r="O360" s="65">
        <f>52.2</f>
        <v>52.2</v>
      </c>
      <c r="P360" s="65"/>
      <c r="Q360" s="26">
        <f>69.9</f>
        <v>69.900000000000006</v>
      </c>
      <c r="R360" s="26"/>
      <c r="S360" s="84">
        <f>83</f>
        <v>83</v>
      </c>
    </row>
    <row r="361" spans="1:19" ht="13" customHeight="1">
      <c r="A361" s="24" t="s">
        <v>309</v>
      </c>
      <c r="B361" s="24" t="s">
        <v>310</v>
      </c>
      <c r="C361" s="59"/>
      <c r="D361" s="39" t="s">
        <v>311</v>
      </c>
      <c r="E361" s="25" t="s">
        <v>257</v>
      </c>
      <c r="F361" s="25" t="s">
        <v>264</v>
      </c>
      <c r="G361" s="25" t="s">
        <v>259</v>
      </c>
      <c r="H361" s="38"/>
      <c r="I361" s="50" t="s">
        <v>345</v>
      </c>
      <c r="J361" s="36" t="s">
        <v>346</v>
      </c>
      <c r="K361" s="75">
        <f>62.3</f>
        <v>62.3</v>
      </c>
      <c r="L361" s="64"/>
      <c r="M361" s="65">
        <f>44.1</f>
        <v>44.1</v>
      </c>
      <c r="N361" s="65">
        <f>42.9</f>
        <v>42.9</v>
      </c>
      <c r="O361" s="65">
        <f>41.9</f>
        <v>41.9</v>
      </c>
      <c r="P361" s="65"/>
      <c r="Q361" s="26">
        <f>39.7</f>
        <v>39.700000000000003</v>
      </c>
      <c r="R361" s="26"/>
      <c r="S361" s="32">
        <f>37.5</f>
        <v>37.5</v>
      </c>
    </row>
    <row r="362" spans="1:19" ht="13" customHeight="1">
      <c r="A362" s="24" t="s">
        <v>309</v>
      </c>
      <c r="B362" s="24" t="s">
        <v>310</v>
      </c>
      <c r="C362" s="73"/>
      <c r="D362" s="39" t="s">
        <v>311</v>
      </c>
      <c r="E362" s="25" t="s">
        <v>312</v>
      </c>
      <c r="F362" s="25" t="s">
        <v>264</v>
      </c>
      <c r="G362" s="25" t="s">
        <v>265</v>
      </c>
      <c r="H362" s="38"/>
      <c r="I362" s="50" t="s">
        <v>345</v>
      </c>
      <c r="J362" s="36" t="s">
        <v>346</v>
      </c>
      <c r="K362" s="75">
        <f>62.3</f>
        <v>62.3</v>
      </c>
      <c r="L362" s="64"/>
      <c r="M362" s="65">
        <f>44.1</f>
        <v>44.1</v>
      </c>
      <c r="N362" s="65">
        <f>42.1</f>
        <v>42.1</v>
      </c>
      <c r="O362" s="65">
        <f>39.8</f>
        <v>39.799999999999997</v>
      </c>
      <c r="P362" s="65"/>
      <c r="Q362" s="26">
        <f>35.7</f>
        <v>35.700000000000003</v>
      </c>
      <c r="R362" s="26"/>
      <c r="S362" s="84">
        <f>30</f>
        <v>30</v>
      </c>
    </row>
    <row r="363" spans="1:19" ht="13" customHeight="1">
      <c r="A363" s="24" t="s">
        <v>309</v>
      </c>
      <c r="B363" s="24" t="s">
        <v>310</v>
      </c>
      <c r="C363" s="59"/>
      <c r="D363" s="39" t="s">
        <v>311</v>
      </c>
      <c r="E363" s="25" t="s">
        <v>257</v>
      </c>
      <c r="F363" s="25" t="s">
        <v>264</v>
      </c>
      <c r="G363" s="25" t="s">
        <v>259</v>
      </c>
      <c r="H363" s="38"/>
      <c r="I363" s="28" t="s">
        <v>347</v>
      </c>
      <c r="J363" s="29" t="s">
        <v>141</v>
      </c>
      <c r="K363" s="75">
        <f>8.1</f>
        <v>8.1</v>
      </c>
      <c r="L363" s="64"/>
      <c r="M363" s="65">
        <f>8.3</f>
        <v>8.3000000000000007</v>
      </c>
      <c r="N363" s="65">
        <f>9.6</f>
        <v>9.6</v>
      </c>
      <c r="O363" s="65">
        <f>10.4</f>
        <v>10.4</v>
      </c>
      <c r="P363" s="65"/>
      <c r="Q363" s="26">
        <f>12.2</f>
        <v>12.2</v>
      </c>
      <c r="R363" s="26"/>
      <c r="S363" s="84">
        <f>13.1</f>
        <v>13.1</v>
      </c>
    </row>
    <row r="364" spans="1:19" ht="13" customHeight="1">
      <c r="A364" s="24" t="s">
        <v>309</v>
      </c>
      <c r="B364" s="24" t="s">
        <v>310</v>
      </c>
      <c r="C364" s="73"/>
      <c r="D364" s="39" t="s">
        <v>311</v>
      </c>
      <c r="E364" s="25" t="s">
        <v>312</v>
      </c>
      <c r="F364" s="25" t="s">
        <v>264</v>
      </c>
      <c r="G364" s="25" t="s">
        <v>265</v>
      </c>
      <c r="H364" s="38"/>
      <c r="I364" s="28" t="s">
        <v>347</v>
      </c>
      <c r="J364" s="29" t="s">
        <v>141</v>
      </c>
      <c r="K364" s="75">
        <f>8.1</f>
        <v>8.1</v>
      </c>
      <c r="L364" s="64"/>
      <c r="M364" s="65">
        <f>8.6</f>
        <v>8.6</v>
      </c>
      <c r="N364" s="65">
        <f>10.9</f>
        <v>10.9</v>
      </c>
      <c r="O364" s="65">
        <f>12.9</f>
        <v>12.9</v>
      </c>
      <c r="P364" s="65"/>
      <c r="Q364" s="26">
        <f>17.3</f>
        <v>17.3</v>
      </c>
      <c r="R364" s="26"/>
      <c r="S364" s="84">
        <f>20.5</f>
        <v>20.5</v>
      </c>
    </row>
    <row r="365" spans="1:19" ht="13" customHeight="1">
      <c r="A365" s="24" t="s">
        <v>309</v>
      </c>
      <c r="B365" s="24" t="s">
        <v>310</v>
      </c>
      <c r="C365" s="59"/>
      <c r="D365" s="39" t="s">
        <v>311</v>
      </c>
      <c r="E365" s="25" t="s">
        <v>257</v>
      </c>
      <c r="F365" s="25" t="s">
        <v>264</v>
      </c>
      <c r="G365" s="25" t="s">
        <v>259</v>
      </c>
      <c r="H365" s="38"/>
      <c r="I365" s="50" t="s">
        <v>348</v>
      </c>
      <c r="J365" s="36" t="s">
        <v>349</v>
      </c>
      <c r="K365" s="75">
        <f>751.6</f>
        <v>751.6</v>
      </c>
      <c r="L365" s="64"/>
      <c r="M365" s="65">
        <f>713.9</f>
        <v>713.9</v>
      </c>
      <c r="N365" s="65">
        <f>695.4</f>
        <v>695.4</v>
      </c>
      <c r="O365" s="65">
        <f>678.9</f>
        <v>678.9</v>
      </c>
      <c r="P365" s="65"/>
      <c r="Q365" s="26">
        <f>643.2</f>
        <v>643.20000000000005</v>
      </c>
      <c r="R365" s="26"/>
      <c r="S365" s="84">
        <f>607.5</f>
        <v>607.5</v>
      </c>
    </row>
    <row r="366" spans="1:19" ht="13" customHeight="1">
      <c r="A366" s="24" t="s">
        <v>309</v>
      </c>
      <c r="B366" s="24" t="s">
        <v>310</v>
      </c>
      <c r="C366" s="73"/>
      <c r="D366" s="39" t="s">
        <v>311</v>
      </c>
      <c r="E366" s="25" t="s">
        <v>312</v>
      </c>
      <c r="F366" s="25" t="s">
        <v>264</v>
      </c>
      <c r="G366" s="25" t="s">
        <v>265</v>
      </c>
      <c r="H366" s="38"/>
      <c r="I366" s="50" t="s">
        <v>348</v>
      </c>
      <c r="J366" s="36" t="s">
        <v>349</v>
      </c>
      <c r="K366" s="75">
        <f>751.6</f>
        <v>751.6</v>
      </c>
      <c r="L366" s="64"/>
      <c r="M366" s="65">
        <f>713.9</f>
        <v>713.9</v>
      </c>
      <c r="N366" s="65">
        <f>645.3</f>
        <v>645.29999999999995</v>
      </c>
      <c r="O366" s="65">
        <f>583.6</f>
        <v>583.6</v>
      </c>
      <c r="P366" s="65"/>
      <c r="Q366" s="26">
        <v>487.8</v>
      </c>
      <c r="R366" s="26"/>
      <c r="S366" s="84">
        <f>386.9</f>
        <v>386.9</v>
      </c>
    </row>
    <row r="367" spans="1:19" ht="13" customHeight="1">
      <c r="A367" s="24" t="s">
        <v>309</v>
      </c>
      <c r="B367" s="24" t="s">
        <v>310</v>
      </c>
      <c r="C367" s="59"/>
      <c r="D367" s="39" t="s">
        <v>311</v>
      </c>
      <c r="E367" s="25" t="s">
        <v>257</v>
      </c>
      <c r="F367" s="25" t="s">
        <v>264</v>
      </c>
      <c r="G367" s="25" t="s">
        <v>259</v>
      </c>
      <c r="H367" s="38"/>
      <c r="I367" s="28" t="s">
        <v>102</v>
      </c>
      <c r="J367" s="29" t="s">
        <v>141</v>
      </c>
      <c r="K367" s="75">
        <f>51.2</f>
        <v>51.2</v>
      </c>
      <c r="L367" s="64"/>
      <c r="M367" s="65">
        <f>58.3</f>
        <v>58.3</v>
      </c>
      <c r="N367" s="78">
        <f>65</f>
        <v>65</v>
      </c>
      <c r="O367" s="65">
        <f>67.6</f>
        <v>67.599999999999994</v>
      </c>
      <c r="P367" s="65"/>
      <c r="Q367" s="26">
        <f>72.6</f>
        <v>72.599999999999994</v>
      </c>
      <c r="R367" s="26"/>
      <c r="S367" s="84">
        <f>72.3</f>
        <v>72.3</v>
      </c>
    </row>
    <row r="368" spans="1:19" ht="13" customHeight="1">
      <c r="A368" s="24" t="s">
        <v>309</v>
      </c>
      <c r="B368" s="24" t="s">
        <v>310</v>
      </c>
      <c r="C368" s="73"/>
      <c r="D368" s="39" t="s">
        <v>311</v>
      </c>
      <c r="E368" s="25" t="s">
        <v>312</v>
      </c>
      <c r="F368" s="25" t="s">
        <v>264</v>
      </c>
      <c r="G368" s="25" t="s">
        <v>265</v>
      </c>
      <c r="H368" s="38"/>
      <c r="I368" s="28" t="s">
        <v>102</v>
      </c>
      <c r="J368" s="29" t="s">
        <v>141</v>
      </c>
      <c r="K368" s="75">
        <f>51.2</f>
        <v>51.2</v>
      </c>
      <c r="L368" s="64"/>
      <c r="M368" s="65">
        <f>57.1</f>
        <v>57.1</v>
      </c>
      <c r="N368" s="65">
        <f>58.9</f>
        <v>58.9</v>
      </c>
      <c r="O368" s="65">
        <f>56.1</f>
        <v>56.1</v>
      </c>
      <c r="P368" s="65"/>
      <c r="Q368" s="26">
        <f>48.6</f>
        <v>48.6</v>
      </c>
      <c r="R368" s="26"/>
      <c r="S368" s="84">
        <f>37.5</f>
        <v>37.5</v>
      </c>
    </row>
    <row r="369" spans="1:19" ht="13" customHeight="1">
      <c r="A369" s="24" t="s">
        <v>309</v>
      </c>
      <c r="B369" s="24" t="s">
        <v>310</v>
      </c>
      <c r="C369" s="59"/>
      <c r="D369" s="39" t="s">
        <v>311</v>
      </c>
      <c r="E369" s="25" t="s">
        <v>257</v>
      </c>
      <c r="F369" s="25" t="s">
        <v>264</v>
      </c>
      <c r="G369" s="25" t="s">
        <v>259</v>
      </c>
      <c r="H369" s="38"/>
      <c r="I369" s="50" t="s">
        <v>350</v>
      </c>
      <c r="J369" s="36" t="s">
        <v>351</v>
      </c>
      <c r="K369" s="75">
        <f>2113</f>
        <v>2113</v>
      </c>
      <c r="L369" s="64"/>
      <c r="M369" s="65">
        <f>1898.3</f>
        <v>1898.3</v>
      </c>
      <c r="N369" s="65">
        <f>1849.2</f>
        <v>1849.2</v>
      </c>
      <c r="O369" s="65">
        <f>1805.8</f>
        <v>1805.8</v>
      </c>
      <c r="P369" s="65"/>
      <c r="Q369" s="26">
        <f>1712.9</f>
        <v>1712.9</v>
      </c>
      <c r="R369" s="26"/>
      <c r="S369" s="84">
        <f>1619.9</f>
        <v>1619.9</v>
      </c>
    </row>
    <row r="370" spans="1:19" ht="13" customHeight="1">
      <c r="A370" s="24" t="s">
        <v>309</v>
      </c>
      <c r="B370" s="24" t="s">
        <v>310</v>
      </c>
      <c r="C370" s="73"/>
      <c r="D370" s="39" t="s">
        <v>311</v>
      </c>
      <c r="E370" s="25" t="s">
        <v>312</v>
      </c>
      <c r="F370" s="25" t="s">
        <v>264</v>
      </c>
      <c r="G370" s="25" t="s">
        <v>265</v>
      </c>
      <c r="H370" s="38"/>
      <c r="I370" s="50" t="s">
        <v>350</v>
      </c>
      <c r="J370" s="36" t="s">
        <v>351</v>
      </c>
      <c r="K370" s="75">
        <f>2113</f>
        <v>2113</v>
      </c>
      <c r="L370" s="64"/>
      <c r="M370" s="65">
        <f>1898.3</f>
        <v>1898.3</v>
      </c>
      <c r="N370" s="65">
        <f>1812.3</f>
        <v>1812.3</v>
      </c>
      <c r="O370" s="65">
        <f>1715.7</f>
        <v>1715.7</v>
      </c>
      <c r="P370" s="65"/>
      <c r="Q370" s="26">
        <f>1541.9</f>
        <v>1541.9</v>
      </c>
      <c r="R370" s="26"/>
      <c r="S370" s="84">
        <f>1296.5</f>
        <v>1296.5</v>
      </c>
    </row>
    <row r="371" spans="1:19" ht="13" customHeight="1">
      <c r="A371" s="24" t="s">
        <v>309</v>
      </c>
      <c r="B371" s="24" t="s">
        <v>310</v>
      </c>
      <c r="C371" s="59"/>
      <c r="D371" s="39" t="s">
        <v>311</v>
      </c>
      <c r="E371" s="25" t="s">
        <v>257</v>
      </c>
      <c r="F371" s="25" t="s">
        <v>264</v>
      </c>
      <c r="G371" s="25" t="s">
        <v>259</v>
      </c>
      <c r="H371" s="38"/>
      <c r="I371" s="33" t="s">
        <v>103</v>
      </c>
      <c r="J371" s="29" t="s">
        <v>141</v>
      </c>
      <c r="K371" s="30">
        <f>73.9</f>
        <v>73.900000000000006</v>
      </c>
      <c r="L371" s="64"/>
      <c r="M371" s="65">
        <v>75.7</v>
      </c>
      <c r="N371" s="65">
        <f>85.3</f>
        <v>85.3</v>
      </c>
      <c r="O371" s="65">
        <f>90.4</f>
        <v>90.4</v>
      </c>
      <c r="P371" s="65"/>
      <c r="Q371" s="59">
        <v>100.9</v>
      </c>
      <c r="R371" s="59"/>
      <c r="S371" s="85">
        <f>104.1</f>
        <v>104.1</v>
      </c>
    </row>
    <row r="372" spans="1:19" ht="13" customHeight="1">
      <c r="A372" s="24" t="s">
        <v>309</v>
      </c>
      <c r="B372" s="24" t="s">
        <v>310</v>
      </c>
      <c r="C372" s="73"/>
      <c r="D372" s="39" t="s">
        <v>311</v>
      </c>
      <c r="E372" s="76" t="s">
        <v>312</v>
      </c>
      <c r="F372" s="76" t="s">
        <v>264</v>
      </c>
      <c r="G372" s="25" t="s">
        <v>265</v>
      </c>
      <c r="H372" s="38"/>
      <c r="I372" s="33" t="s">
        <v>103</v>
      </c>
      <c r="J372" s="29" t="s">
        <v>141</v>
      </c>
      <c r="K372" s="30">
        <f>73.9</f>
        <v>73.900000000000006</v>
      </c>
      <c r="L372" s="64"/>
      <c r="M372" s="65">
        <f>75.7</f>
        <v>75.7</v>
      </c>
      <c r="N372" s="65">
        <f>85</f>
        <v>85</v>
      </c>
      <c r="O372" s="65">
        <f>89.8</f>
        <v>89.8</v>
      </c>
      <c r="P372" s="25"/>
      <c r="Q372" s="65">
        <f>99.5</f>
        <v>99.5</v>
      </c>
      <c r="R372" s="25"/>
      <c r="S372" s="86">
        <f>102</f>
        <v>102</v>
      </c>
    </row>
    <row r="373" spans="1:19" ht="13" customHeight="1">
      <c r="A373" s="24" t="s">
        <v>309</v>
      </c>
      <c r="B373" s="24" t="s">
        <v>310</v>
      </c>
      <c r="C373" s="59"/>
      <c r="D373" s="39" t="s">
        <v>311</v>
      </c>
      <c r="E373" s="25" t="s">
        <v>257</v>
      </c>
      <c r="F373" s="25" t="s">
        <v>264</v>
      </c>
      <c r="G373" s="25" t="s">
        <v>259</v>
      </c>
      <c r="H373" s="38"/>
      <c r="I373" s="79" t="s">
        <v>352</v>
      </c>
      <c r="J373" s="29" t="s">
        <v>141</v>
      </c>
      <c r="K373" s="75">
        <f>48.8</f>
        <v>48.8</v>
      </c>
      <c r="L373" s="64"/>
      <c r="M373" s="65">
        <f>45.3</f>
        <v>45.3</v>
      </c>
      <c r="N373" s="65">
        <f>50.1</f>
        <v>50.1</v>
      </c>
      <c r="O373" s="65">
        <f>52.3</f>
        <v>52.3</v>
      </c>
      <c r="P373" s="25"/>
      <c r="Q373" s="65">
        <f>56.3</f>
        <v>56.3</v>
      </c>
      <c r="R373" s="25"/>
      <c r="S373" s="81">
        <f>56</f>
        <v>56</v>
      </c>
    </row>
    <row r="374" spans="1:19" ht="13" customHeight="1">
      <c r="A374" s="24" t="s">
        <v>309</v>
      </c>
      <c r="B374" s="24" t="s">
        <v>310</v>
      </c>
      <c r="C374" s="73"/>
      <c r="D374" s="39" t="s">
        <v>311</v>
      </c>
      <c r="E374" s="25" t="s">
        <v>312</v>
      </c>
      <c r="F374" s="25" t="s">
        <v>264</v>
      </c>
      <c r="G374" s="25" t="s">
        <v>265</v>
      </c>
      <c r="H374" s="38"/>
      <c r="I374" s="79" t="s">
        <v>352</v>
      </c>
      <c r="J374" s="29" t="s">
        <v>141</v>
      </c>
      <c r="K374" s="75">
        <f>48.8</f>
        <v>48.8</v>
      </c>
      <c r="L374" s="64"/>
      <c r="M374" s="65">
        <f>44.3</f>
        <v>44.3</v>
      </c>
      <c r="N374" s="78">
        <f>45</f>
        <v>45</v>
      </c>
      <c r="O374" s="65">
        <f>42.6</f>
        <v>42.6</v>
      </c>
      <c r="P374" s="25"/>
      <c r="Q374" s="65">
        <f>36.3</f>
        <v>36.299999999999997</v>
      </c>
      <c r="R374" s="25"/>
      <c r="S374" s="81">
        <f>27</f>
        <v>27</v>
      </c>
    </row>
    <row r="375" spans="1:19" ht="13" customHeight="1">
      <c r="A375" s="24" t="s">
        <v>309</v>
      </c>
      <c r="B375" s="24" t="s">
        <v>310</v>
      </c>
      <c r="C375" s="59"/>
      <c r="D375" s="39" t="s">
        <v>311</v>
      </c>
      <c r="E375" s="25" t="s">
        <v>257</v>
      </c>
      <c r="F375" s="25" t="s">
        <v>264</v>
      </c>
      <c r="G375" s="25" t="s">
        <v>259</v>
      </c>
      <c r="H375" s="38"/>
      <c r="I375" s="79" t="s">
        <v>353</v>
      </c>
      <c r="J375" s="29" t="s">
        <v>141</v>
      </c>
      <c r="K375" s="75">
        <f>25.1</f>
        <v>25.1</v>
      </c>
      <c r="L375" s="64"/>
      <c r="M375" s="65">
        <f>30.4</f>
        <v>30.4</v>
      </c>
      <c r="N375" s="65">
        <f>35.1</f>
        <v>35.1</v>
      </c>
      <c r="O375" s="65">
        <f>38.2</f>
        <v>38.200000000000003</v>
      </c>
      <c r="P375" s="25"/>
      <c r="Q375" s="65">
        <f>44.6</f>
        <v>44.6</v>
      </c>
      <c r="R375" s="25"/>
      <c r="S375" s="81">
        <f>48.1</f>
        <v>48.1</v>
      </c>
    </row>
    <row r="376" spans="1:19" ht="13" customHeight="1">
      <c r="A376" s="24" t="s">
        <v>309</v>
      </c>
      <c r="B376" s="24" t="s">
        <v>310</v>
      </c>
      <c r="C376" s="73"/>
      <c r="D376" s="39" t="s">
        <v>311</v>
      </c>
      <c r="E376" s="25" t="s">
        <v>312</v>
      </c>
      <c r="F376" s="25" t="s">
        <v>264</v>
      </c>
      <c r="G376" s="25" t="s">
        <v>265</v>
      </c>
      <c r="H376" s="38"/>
      <c r="I376" s="79" t="s">
        <v>353</v>
      </c>
      <c r="J376" s="29" t="s">
        <v>141</v>
      </c>
      <c r="K376" s="75">
        <f>25.1</f>
        <v>25.1</v>
      </c>
      <c r="L376" s="64"/>
      <c r="M376" s="65">
        <f>31.4</f>
        <v>31.4</v>
      </c>
      <c r="N376" s="65">
        <f>37.8</f>
        <v>37.799999999999997</v>
      </c>
      <c r="O376" s="65">
        <f>42.6</f>
        <v>42.6</v>
      </c>
      <c r="P376" s="25"/>
      <c r="Q376" s="65">
        <f>53.2</f>
        <v>53.2</v>
      </c>
      <c r="R376" s="25"/>
      <c r="S376" s="81">
        <f>59.7</f>
        <v>59.7</v>
      </c>
    </row>
    <row r="377" spans="1:19" ht="13" customHeight="1">
      <c r="A377" s="24" t="s">
        <v>309</v>
      </c>
      <c r="B377" s="24" t="s">
        <v>310</v>
      </c>
      <c r="C377" s="59"/>
      <c r="D377" s="39" t="s">
        <v>311</v>
      </c>
      <c r="E377" s="25" t="s">
        <v>257</v>
      </c>
      <c r="F377" s="25" t="s">
        <v>264</v>
      </c>
      <c r="G377" s="25" t="s">
        <v>259</v>
      </c>
      <c r="H377" s="38"/>
      <c r="I377" s="79" t="s">
        <v>354</v>
      </c>
      <c r="J377" s="29" t="s">
        <v>141</v>
      </c>
      <c r="K377" s="75">
        <f>0</f>
        <v>0</v>
      </c>
      <c r="L377" s="64"/>
      <c r="M377" s="65">
        <f>0</f>
        <v>0</v>
      </c>
      <c r="N377" s="65">
        <f>0</f>
        <v>0</v>
      </c>
      <c r="O377" s="65">
        <f>0</f>
        <v>0</v>
      </c>
      <c r="P377" s="25"/>
      <c r="Q377" s="65">
        <f>0</f>
        <v>0</v>
      </c>
      <c r="R377" s="25"/>
      <c r="S377" s="81">
        <f>0</f>
        <v>0</v>
      </c>
    </row>
    <row r="378" spans="1:19" ht="13" customHeight="1">
      <c r="A378" s="24" t="s">
        <v>309</v>
      </c>
      <c r="B378" s="24" t="s">
        <v>310</v>
      </c>
      <c r="C378" s="73"/>
      <c r="D378" s="39" t="s">
        <v>311</v>
      </c>
      <c r="E378" s="25" t="s">
        <v>312</v>
      </c>
      <c r="F378" s="25" t="s">
        <v>264</v>
      </c>
      <c r="G378" s="25" t="s">
        <v>265</v>
      </c>
      <c r="H378" s="38"/>
      <c r="I378" s="79" t="s">
        <v>354</v>
      </c>
      <c r="J378" s="29" t="s">
        <v>141</v>
      </c>
      <c r="K378" s="75">
        <f>0</f>
        <v>0</v>
      </c>
      <c r="L378" s="64"/>
      <c r="M378" s="65">
        <f>0</f>
        <v>0</v>
      </c>
      <c r="N378" s="65">
        <f>2.1</f>
        <v>2.1</v>
      </c>
      <c r="O378" s="65">
        <f>4.5</f>
        <v>4.5</v>
      </c>
      <c r="P378" s="25"/>
      <c r="Q378" s="65">
        <f>9.9</f>
        <v>9.9</v>
      </c>
      <c r="R378" s="25"/>
      <c r="S378" s="81">
        <f>15.3</f>
        <v>15.3</v>
      </c>
    </row>
    <row r="379" spans="1:19" ht="13" customHeight="1">
      <c r="A379" s="24" t="s">
        <v>309</v>
      </c>
      <c r="B379" s="24" t="s">
        <v>310</v>
      </c>
      <c r="C379" s="59"/>
      <c r="D379" s="39" t="s">
        <v>311</v>
      </c>
      <c r="E379" s="25" t="s">
        <v>257</v>
      </c>
      <c r="F379" s="25" t="s">
        <v>264</v>
      </c>
      <c r="G379" s="25" t="s">
        <v>259</v>
      </c>
      <c r="H379" s="38"/>
      <c r="I379" s="52" t="s">
        <v>355</v>
      </c>
      <c r="J379" s="29" t="s">
        <v>98</v>
      </c>
      <c r="K379" s="87">
        <f>0</f>
        <v>0</v>
      </c>
      <c r="L379" s="31"/>
      <c r="M379" s="47">
        <f>0</f>
        <v>0</v>
      </c>
      <c r="N379" s="47">
        <f>0</f>
        <v>0</v>
      </c>
      <c r="O379" s="47">
        <f>0</f>
        <v>0</v>
      </c>
      <c r="P379" s="26"/>
      <c r="Q379" s="47">
        <f>0</f>
        <v>0</v>
      </c>
      <c r="R379" s="26"/>
      <c r="S379" s="88">
        <f>0</f>
        <v>0</v>
      </c>
    </row>
    <row r="380" spans="1:19" ht="13" customHeight="1">
      <c r="A380" s="24" t="s">
        <v>309</v>
      </c>
      <c r="B380" s="24" t="s">
        <v>310</v>
      </c>
      <c r="C380" s="73"/>
      <c r="D380" s="39" t="s">
        <v>311</v>
      </c>
      <c r="E380" s="25" t="s">
        <v>312</v>
      </c>
      <c r="F380" s="25" t="s">
        <v>264</v>
      </c>
      <c r="G380" s="25" t="s">
        <v>265</v>
      </c>
      <c r="H380" s="38"/>
      <c r="I380" s="52" t="s">
        <v>355</v>
      </c>
      <c r="J380" s="29" t="s">
        <v>98</v>
      </c>
      <c r="K380" s="87">
        <f>0</f>
        <v>0</v>
      </c>
      <c r="L380" s="31"/>
      <c r="M380" s="47">
        <f>0</f>
        <v>0</v>
      </c>
      <c r="N380" s="47">
        <f>0.03</f>
        <v>0.03</v>
      </c>
      <c r="O380" s="47">
        <f>0.05</f>
        <v>0.05</v>
      </c>
      <c r="P380" s="26"/>
      <c r="Q380" s="47">
        <f>0.1</f>
        <v>0.1</v>
      </c>
      <c r="R380" s="26"/>
      <c r="S380" s="88">
        <f>0.15</f>
        <v>0.15</v>
      </c>
    </row>
    <row r="381" spans="1:19" ht="13" customHeight="1">
      <c r="A381" s="24" t="s">
        <v>309</v>
      </c>
      <c r="B381" s="24" t="s">
        <v>310</v>
      </c>
      <c r="C381" s="59"/>
      <c r="D381" s="39" t="s">
        <v>311</v>
      </c>
      <c r="E381" s="25" t="s">
        <v>257</v>
      </c>
      <c r="F381" s="25" t="s">
        <v>264</v>
      </c>
      <c r="G381" s="25" t="s">
        <v>259</v>
      </c>
      <c r="H381" s="38"/>
      <c r="I381" s="50" t="s">
        <v>356</v>
      </c>
      <c r="J381" s="36" t="s">
        <v>357</v>
      </c>
      <c r="K381" s="75">
        <f>126.4</f>
        <v>126.4</v>
      </c>
      <c r="L381" s="64"/>
      <c r="M381" s="65">
        <v>117.7</v>
      </c>
      <c r="N381" s="65">
        <v>113.4</v>
      </c>
      <c r="O381" s="65">
        <v>109.6</v>
      </c>
      <c r="P381" s="25"/>
      <c r="Q381" s="78">
        <f>102</f>
        <v>102</v>
      </c>
      <c r="R381" s="25"/>
      <c r="S381" s="81">
        <f>94.6</f>
        <v>94.6</v>
      </c>
    </row>
    <row r="382" spans="1:19" ht="13" customHeight="1">
      <c r="A382" s="24" t="s">
        <v>309</v>
      </c>
      <c r="B382" s="24" t="s">
        <v>310</v>
      </c>
      <c r="C382" s="73"/>
      <c r="D382" s="39" t="s">
        <v>311</v>
      </c>
      <c r="E382" s="25" t="s">
        <v>312</v>
      </c>
      <c r="F382" s="25" t="s">
        <v>264</v>
      </c>
      <c r="G382" s="25" t="s">
        <v>265</v>
      </c>
      <c r="H382" s="38"/>
      <c r="I382" s="50" t="s">
        <v>356</v>
      </c>
      <c r="J382" s="60" t="s">
        <v>357</v>
      </c>
      <c r="K382" s="75">
        <f>126.4</f>
        <v>126.4</v>
      </c>
      <c r="L382" s="64"/>
      <c r="M382" s="78">
        <f>116</f>
        <v>116</v>
      </c>
      <c r="N382" s="65">
        <v>103.8</v>
      </c>
      <c r="O382" s="65">
        <f>91.8</f>
        <v>91.8</v>
      </c>
      <c r="P382" s="25"/>
      <c r="Q382" s="65">
        <f>70.8</f>
        <v>70.8</v>
      </c>
      <c r="R382" s="25"/>
      <c r="S382" s="81">
        <f>50.4</f>
        <v>50.4</v>
      </c>
    </row>
    <row r="383" spans="1:19" ht="13" customHeight="1">
      <c r="A383" s="24" t="s">
        <v>309</v>
      </c>
      <c r="B383" s="24" t="s">
        <v>310</v>
      </c>
      <c r="C383" s="59"/>
      <c r="D383" s="39" t="s">
        <v>311</v>
      </c>
      <c r="E383" s="25" t="s">
        <v>257</v>
      </c>
      <c r="F383" s="25" t="s">
        <v>264</v>
      </c>
      <c r="G383" s="25" t="s">
        <v>259</v>
      </c>
      <c r="H383" s="38"/>
      <c r="I383" s="56" t="s">
        <v>358</v>
      </c>
      <c r="J383" s="36" t="s">
        <v>267</v>
      </c>
      <c r="K383" s="75">
        <f>8.1</f>
        <v>8.1</v>
      </c>
      <c r="L383" s="64"/>
      <c r="M383" s="65">
        <f>9.7</f>
        <v>9.6999999999999993</v>
      </c>
      <c r="N383" s="65">
        <f>10.2</f>
        <v>10.199999999999999</v>
      </c>
      <c r="O383" s="65">
        <f>10.7</f>
        <v>10.7</v>
      </c>
      <c r="P383" s="65"/>
      <c r="Q383" s="34">
        <f>11.5</f>
        <v>11.5</v>
      </c>
      <c r="R383" s="26"/>
      <c r="S383" s="32">
        <f>13.4</f>
        <v>13.4</v>
      </c>
    </row>
    <row r="384" spans="1:19" ht="13" customHeight="1">
      <c r="A384" s="24" t="s">
        <v>309</v>
      </c>
      <c r="B384" s="24" t="s">
        <v>310</v>
      </c>
      <c r="C384" s="73"/>
      <c r="D384" s="39" t="s">
        <v>311</v>
      </c>
      <c r="E384" s="76" t="s">
        <v>312</v>
      </c>
      <c r="F384" s="76" t="s">
        <v>264</v>
      </c>
      <c r="G384" s="25" t="s">
        <v>265</v>
      </c>
      <c r="H384" s="38"/>
      <c r="I384" s="56" t="s">
        <v>358</v>
      </c>
      <c r="J384" s="36" t="s">
        <v>267</v>
      </c>
      <c r="K384" s="75">
        <f>8.1</f>
        <v>8.1</v>
      </c>
      <c r="L384" s="64"/>
      <c r="M384" s="65">
        <f>9.7</f>
        <v>9.6999999999999993</v>
      </c>
      <c r="N384" s="65">
        <f>10.2</f>
        <v>10.199999999999999</v>
      </c>
      <c r="O384" s="65">
        <f>10.7</f>
        <v>10.7</v>
      </c>
      <c r="P384" s="65"/>
      <c r="Q384" s="26">
        <f>11.5</f>
        <v>11.5</v>
      </c>
      <c r="R384" s="26"/>
      <c r="S384" s="32">
        <f>13.4</f>
        <v>13.4</v>
      </c>
    </row>
    <row r="385" spans="1:20" ht="13" customHeight="1">
      <c r="A385" s="24" t="s">
        <v>309</v>
      </c>
      <c r="B385" s="24" t="s">
        <v>310</v>
      </c>
      <c r="C385" s="59"/>
      <c r="D385" s="39" t="s">
        <v>311</v>
      </c>
      <c r="E385" s="25" t="s">
        <v>257</v>
      </c>
      <c r="F385" s="25" t="s">
        <v>264</v>
      </c>
      <c r="G385" s="25" t="s">
        <v>259</v>
      </c>
      <c r="H385" s="38"/>
      <c r="I385" s="33" t="s">
        <v>106</v>
      </c>
      <c r="J385" s="29" t="s">
        <v>141</v>
      </c>
      <c r="K385" s="89">
        <f>3.8</f>
        <v>3.8</v>
      </c>
      <c r="L385" s="64"/>
      <c r="M385" s="65">
        <f>4.9</f>
        <v>4.9000000000000004</v>
      </c>
      <c r="N385" s="65">
        <f>5.2</f>
        <v>5.2</v>
      </c>
      <c r="O385" s="65">
        <f>5.5</f>
        <v>5.5</v>
      </c>
      <c r="P385" s="65"/>
      <c r="Q385" s="34">
        <f>6</f>
        <v>6</v>
      </c>
      <c r="R385" s="26"/>
      <c r="S385" s="32">
        <f>6.5</f>
        <v>6.5</v>
      </c>
    </row>
    <row r="386" spans="1:20" ht="13" customHeight="1">
      <c r="A386" s="24" t="s">
        <v>309</v>
      </c>
      <c r="B386" s="24" t="s">
        <v>310</v>
      </c>
      <c r="C386" s="73"/>
      <c r="D386" s="39" t="s">
        <v>311</v>
      </c>
      <c r="E386" s="76" t="s">
        <v>312</v>
      </c>
      <c r="F386" s="76" t="s">
        <v>264</v>
      </c>
      <c r="G386" s="25" t="s">
        <v>265</v>
      </c>
      <c r="H386" s="38"/>
      <c r="I386" s="33" t="s">
        <v>106</v>
      </c>
      <c r="J386" s="29" t="s">
        <v>141</v>
      </c>
      <c r="K386" s="89">
        <f>3.8</f>
        <v>3.8</v>
      </c>
      <c r="L386" s="64"/>
      <c r="M386" s="65">
        <f>4.9</f>
        <v>4.9000000000000004</v>
      </c>
      <c r="N386" s="65">
        <f>5.2</f>
        <v>5.2</v>
      </c>
      <c r="O386" s="65">
        <f>5.5</f>
        <v>5.5</v>
      </c>
      <c r="P386" s="65"/>
      <c r="Q386" s="34">
        <f>6</f>
        <v>6</v>
      </c>
      <c r="R386" s="26"/>
      <c r="S386" s="32">
        <f>6.5</f>
        <v>6.5</v>
      </c>
    </row>
    <row r="387" spans="1:20" ht="13" customHeight="1">
      <c r="A387" s="24" t="s">
        <v>309</v>
      </c>
      <c r="B387" s="24" t="s">
        <v>310</v>
      </c>
      <c r="C387" s="59"/>
      <c r="D387" s="39" t="s">
        <v>311</v>
      </c>
      <c r="E387" s="25" t="s">
        <v>257</v>
      </c>
      <c r="F387" s="25" t="s">
        <v>264</v>
      </c>
      <c r="G387" s="25" t="s">
        <v>259</v>
      </c>
      <c r="H387" s="38"/>
      <c r="I387" s="50" t="s">
        <v>359</v>
      </c>
      <c r="J387" s="36" t="s">
        <v>267</v>
      </c>
      <c r="K387" s="75">
        <f>7.9</f>
        <v>7.9</v>
      </c>
      <c r="L387" s="64"/>
      <c r="M387" s="65">
        <f>9.5</f>
        <v>9.5</v>
      </c>
      <c r="N387" s="78">
        <f>10</f>
        <v>10</v>
      </c>
      <c r="O387" s="65">
        <f>10.5</f>
        <v>10.5</v>
      </c>
      <c r="P387" s="65"/>
      <c r="Q387" s="34">
        <f>11.3</f>
        <v>11.3</v>
      </c>
      <c r="R387" s="26"/>
      <c r="S387" s="32">
        <f>13.2</f>
        <v>13.2</v>
      </c>
    </row>
    <row r="388" spans="1:20" ht="13" customHeight="1">
      <c r="A388" s="24" t="s">
        <v>309</v>
      </c>
      <c r="B388" s="24" t="s">
        <v>310</v>
      </c>
      <c r="C388" s="73"/>
      <c r="D388" s="39" t="s">
        <v>311</v>
      </c>
      <c r="E388" s="76" t="s">
        <v>312</v>
      </c>
      <c r="F388" s="25" t="s">
        <v>264</v>
      </c>
      <c r="G388" s="25" t="s">
        <v>265</v>
      </c>
      <c r="H388" s="38"/>
      <c r="I388" s="50" t="s">
        <v>359</v>
      </c>
      <c r="J388" s="36" t="s">
        <v>267</v>
      </c>
      <c r="K388" s="75">
        <f>7.9</f>
        <v>7.9</v>
      </c>
      <c r="L388" s="64"/>
      <c r="M388" s="65">
        <f>9.5</f>
        <v>9.5</v>
      </c>
      <c r="N388" s="78">
        <f>10</f>
        <v>10</v>
      </c>
      <c r="O388" s="65">
        <f>10.5</f>
        <v>10.5</v>
      </c>
      <c r="P388" s="65"/>
      <c r="Q388" s="34">
        <f>11.3</f>
        <v>11.3</v>
      </c>
      <c r="R388" s="26"/>
      <c r="S388" s="32">
        <f>13.2</f>
        <v>13.2</v>
      </c>
    </row>
    <row r="389" spans="1:20" ht="13" customHeight="1">
      <c r="A389" s="24" t="s">
        <v>309</v>
      </c>
      <c r="B389" s="24" t="s">
        <v>310</v>
      </c>
      <c r="C389" s="59"/>
      <c r="D389" s="39" t="s">
        <v>311</v>
      </c>
      <c r="E389" s="25" t="s">
        <v>257</v>
      </c>
      <c r="F389" s="25" t="s">
        <v>264</v>
      </c>
      <c r="G389" s="25" t="s">
        <v>259</v>
      </c>
      <c r="H389" s="38"/>
      <c r="I389" s="50" t="s">
        <v>360</v>
      </c>
      <c r="J389" s="36" t="s">
        <v>361</v>
      </c>
      <c r="K389" s="75">
        <f>2056.4</f>
        <v>2056.4</v>
      </c>
      <c r="L389" s="64"/>
      <c r="M389" s="65">
        <f>1945.3</f>
        <v>1945.3</v>
      </c>
      <c r="N389" s="65">
        <f>1928.2</f>
        <v>1928.2</v>
      </c>
      <c r="O389" s="78">
        <f>1913</f>
        <v>1913</v>
      </c>
      <c r="P389" s="65"/>
      <c r="Q389" s="34">
        <f>1891.1</f>
        <v>1891.1</v>
      </c>
      <c r="R389" s="26"/>
      <c r="S389" s="32">
        <f>2037.4</f>
        <v>2037.4</v>
      </c>
    </row>
    <row r="390" spans="1:20" ht="13" customHeight="1">
      <c r="A390" s="24" t="s">
        <v>309</v>
      </c>
      <c r="B390" s="24" t="s">
        <v>310</v>
      </c>
      <c r="C390" s="73"/>
      <c r="D390" s="39" t="s">
        <v>311</v>
      </c>
      <c r="E390" s="25" t="s">
        <v>312</v>
      </c>
      <c r="F390" s="25" t="s">
        <v>264</v>
      </c>
      <c r="G390" s="25" t="s">
        <v>265</v>
      </c>
      <c r="H390" s="38"/>
      <c r="I390" s="50" t="s">
        <v>360</v>
      </c>
      <c r="J390" s="36" t="s">
        <v>361</v>
      </c>
      <c r="K390" s="75">
        <f>2056.4</f>
        <v>2056.4</v>
      </c>
      <c r="L390" s="64"/>
      <c r="M390" s="65">
        <f>1945.3</f>
        <v>1945.3</v>
      </c>
      <c r="N390" s="65">
        <f>1895.3</f>
        <v>1895.3</v>
      </c>
      <c r="O390" s="65">
        <f>1830.6</f>
        <v>1830.6</v>
      </c>
      <c r="P390" s="65"/>
      <c r="Q390" s="26">
        <f>1726.1</f>
        <v>1726.1</v>
      </c>
      <c r="R390" s="26"/>
      <c r="S390" s="32">
        <f>1674.5</f>
        <v>1674.5</v>
      </c>
    </row>
    <row r="391" spans="1:20" ht="13" customHeight="1">
      <c r="A391" s="24" t="s">
        <v>309</v>
      </c>
      <c r="B391" s="24" t="s">
        <v>310</v>
      </c>
      <c r="C391" s="59"/>
      <c r="D391" s="39" t="s">
        <v>311</v>
      </c>
      <c r="E391" s="25" t="s">
        <v>257</v>
      </c>
      <c r="F391" s="25" t="s">
        <v>264</v>
      </c>
      <c r="G391" s="25" t="s">
        <v>259</v>
      </c>
      <c r="H391" s="38"/>
      <c r="I391" s="80" t="s">
        <v>362</v>
      </c>
      <c r="J391" s="36" t="s">
        <v>267</v>
      </c>
      <c r="K391" s="75">
        <f>93.9</f>
        <v>93.9</v>
      </c>
      <c r="L391" s="31"/>
      <c r="M391" s="26">
        <f>119</f>
        <v>119</v>
      </c>
      <c r="N391" s="26">
        <f>137.8</f>
        <v>137.80000000000001</v>
      </c>
      <c r="O391" s="26">
        <f>154.4</f>
        <v>154.4</v>
      </c>
      <c r="P391" s="26"/>
      <c r="Q391" s="26">
        <f>169.5</f>
        <v>169.5</v>
      </c>
      <c r="R391" s="26"/>
      <c r="S391" s="32">
        <f>176.6</f>
        <v>176.6</v>
      </c>
      <c r="T391" s="5"/>
    </row>
    <row r="392" spans="1:20" ht="13" customHeight="1">
      <c r="A392" s="24" t="s">
        <v>309</v>
      </c>
      <c r="B392" s="24" t="s">
        <v>310</v>
      </c>
      <c r="C392" s="73"/>
      <c r="D392" s="39" t="s">
        <v>311</v>
      </c>
      <c r="E392" s="25" t="s">
        <v>312</v>
      </c>
      <c r="F392" s="25" t="s">
        <v>264</v>
      </c>
      <c r="G392" s="25" t="s">
        <v>265</v>
      </c>
      <c r="H392" s="38"/>
      <c r="I392" s="50" t="s">
        <v>362</v>
      </c>
      <c r="J392" s="36" t="s">
        <v>267</v>
      </c>
      <c r="K392" s="75">
        <f>93.9</f>
        <v>93.9</v>
      </c>
      <c r="L392" s="31"/>
      <c r="M392" s="26">
        <f>118.5</f>
        <v>118.5</v>
      </c>
      <c r="N392" s="26">
        <f>119.2</f>
        <v>119.2</v>
      </c>
      <c r="O392" s="26">
        <f>115.6</f>
        <v>115.6</v>
      </c>
      <c r="P392" s="26"/>
      <c r="Q392" s="26">
        <f>98.1</f>
        <v>98.1</v>
      </c>
      <c r="R392" s="26"/>
      <c r="S392" s="32">
        <f>83.4</f>
        <v>83.4</v>
      </c>
      <c r="T392" s="5"/>
    </row>
    <row r="393" spans="1:20" ht="13" customHeight="1">
      <c r="A393" s="24" t="s">
        <v>309</v>
      </c>
      <c r="B393" s="24" t="s">
        <v>310</v>
      </c>
      <c r="C393" s="59"/>
      <c r="D393" s="39" t="s">
        <v>311</v>
      </c>
      <c r="E393" s="25" t="s">
        <v>257</v>
      </c>
      <c r="F393" s="25" t="s">
        <v>264</v>
      </c>
      <c r="G393" s="25" t="s">
        <v>259</v>
      </c>
      <c r="H393" s="38"/>
      <c r="I393" s="33" t="s">
        <v>113</v>
      </c>
      <c r="J393" s="83" t="s">
        <v>141</v>
      </c>
      <c r="K393" s="75">
        <f>19.2</f>
        <v>19.2</v>
      </c>
      <c r="L393" s="31"/>
      <c r="M393" s="26">
        <f>22.2</f>
        <v>22.2</v>
      </c>
      <c r="N393" s="26">
        <f>27.3</f>
        <v>27.3</v>
      </c>
      <c r="O393" s="26">
        <v>32.200000000000003</v>
      </c>
      <c r="P393" s="26"/>
      <c r="Q393" s="26">
        <f>36.6</f>
        <v>36.6</v>
      </c>
      <c r="R393" s="26"/>
      <c r="S393" s="32">
        <f>42.2</f>
        <v>42.2</v>
      </c>
      <c r="T393" s="5"/>
    </row>
    <row r="394" spans="1:20" ht="13" customHeight="1">
      <c r="A394" s="24" t="s">
        <v>309</v>
      </c>
      <c r="B394" s="24" t="s">
        <v>310</v>
      </c>
      <c r="C394" s="73"/>
      <c r="D394" s="39" t="s">
        <v>311</v>
      </c>
      <c r="E394" s="25" t="s">
        <v>312</v>
      </c>
      <c r="F394" s="25" t="s">
        <v>264</v>
      </c>
      <c r="G394" s="25" t="s">
        <v>265</v>
      </c>
      <c r="H394" s="38"/>
      <c r="I394" s="33" t="s">
        <v>113</v>
      </c>
      <c r="J394" s="29" t="s">
        <v>141</v>
      </c>
      <c r="K394" s="75">
        <f>19.2</f>
        <v>19.2</v>
      </c>
      <c r="L394" s="31"/>
      <c r="M394" s="26">
        <f>22.2</f>
        <v>22.2</v>
      </c>
      <c r="N394" s="26">
        <f>27.3</f>
        <v>27.3</v>
      </c>
      <c r="O394" s="26">
        <v>32.200000000000003</v>
      </c>
      <c r="P394" s="26"/>
      <c r="Q394" s="26">
        <f>36.6</f>
        <v>36.6</v>
      </c>
      <c r="R394" s="26"/>
      <c r="S394" s="32">
        <f>42.2</f>
        <v>42.2</v>
      </c>
      <c r="T394" s="5"/>
    </row>
    <row r="395" spans="1:20" ht="13" customHeight="1">
      <c r="A395" s="24" t="s">
        <v>309</v>
      </c>
      <c r="B395" s="24" t="s">
        <v>310</v>
      </c>
      <c r="C395" s="59"/>
      <c r="D395" s="39" t="s">
        <v>311</v>
      </c>
      <c r="E395" s="25" t="s">
        <v>257</v>
      </c>
      <c r="F395" s="25" t="s">
        <v>264</v>
      </c>
      <c r="G395" s="25" t="s">
        <v>259</v>
      </c>
      <c r="H395" s="38"/>
      <c r="I395" s="52" t="s">
        <v>363</v>
      </c>
      <c r="J395" s="29" t="s">
        <v>98</v>
      </c>
      <c r="K395" s="87">
        <f>0</f>
        <v>0</v>
      </c>
      <c r="L395" s="31"/>
      <c r="M395" s="47">
        <f>0</f>
        <v>0</v>
      </c>
      <c r="N395" s="47">
        <f>0</f>
        <v>0</v>
      </c>
      <c r="O395" s="47">
        <f>0</f>
        <v>0</v>
      </c>
      <c r="P395" s="26"/>
      <c r="Q395" s="47">
        <f>0</f>
        <v>0</v>
      </c>
      <c r="R395" s="26"/>
      <c r="S395" s="88">
        <f>0</f>
        <v>0</v>
      </c>
      <c r="T395" s="5"/>
    </row>
    <row r="396" spans="1:20" ht="13" customHeight="1">
      <c r="A396" s="24" t="s">
        <v>309</v>
      </c>
      <c r="B396" s="24" t="s">
        <v>310</v>
      </c>
      <c r="C396" s="73"/>
      <c r="D396" s="39" t="s">
        <v>311</v>
      </c>
      <c r="E396" s="25" t="s">
        <v>312</v>
      </c>
      <c r="F396" s="25" t="s">
        <v>264</v>
      </c>
      <c r="G396" s="25" t="s">
        <v>265</v>
      </c>
      <c r="H396" s="38"/>
      <c r="I396" s="52" t="s">
        <v>363</v>
      </c>
      <c r="J396" s="29" t="s">
        <v>98</v>
      </c>
      <c r="K396" s="87">
        <f>0</f>
        <v>0</v>
      </c>
      <c r="L396" s="31"/>
      <c r="M396" s="47">
        <f>0</f>
        <v>0</v>
      </c>
      <c r="N396" s="47">
        <f>0.09</f>
        <v>0.09</v>
      </c>
      <c r="O396" s="47">
        <f>0.17</f>
        <v>0.17</v>
      </c>
      <c r="P396" s="26"/>
      <c r="Q396" s="47">
        <f>0.33</f>
        <v>0.33</v>
      </c>
      <c r="R396" s="26"/>
      <c r="S396" s="88">
        <f>0.5</f>
        <v>0.5</v>
      </c>
      <c r="T396" s="5"/>
    </row>
    <row r="397" spans="1:20" ht="13" customHeight="1">
      <c r="A397" s="24" t="s">
        <v>309</v>
      </c>
      <c r="B397" s="24" t="s">
        <v>310</v>
      </c>
      <c r="C397" s="59"/>
      <c r="D397" s="39" t="s">
        <v>311</v>
      </c>
      <c r="E397" s="25" t="s">
        <v>257</v>
      </c>
      <c r="F397" s="25" t="s">
        <v>264</v>
      </c>
      <c r="G397" s="25" t="s">
        <v>259</v>
      </c>
      <c r="H397" s="38"/>
      <c r="I397" s="50" t="s">
        <v>364</v>
      </c>
      <c r="J397" s="36" t="s">
        <v>365</v>
      </c>
      <c r="K397" s="75">
        <f>1802.1</f>
        <v>1802.1</v>
      </c>
      <c r="L397" s="31"/>
      <c r="M397" s="26">
        <f>1848.7</f>
        <v>1848.7</v>
      </c>
      <c r="N397" s="26">
        <f>1816.4</f>
        <v>1816.4</v>
      </c>
      <c r="O397" s="26">
        <f>1785.8</f>
        <v>1785.8</v>
      </c>
      <c r="P397" s="26"/>
      <c r="Q397" s="26">
        <f>1729.7</f>
        <v>1729.7</v>
      </c>
      <c r="R397" s="26"/>
      <c r="S397" s="32">
        <f>1681.9</f>
        <v>1681.9</v>
      </c>
      <c r="T397" s="5"/>
    </row>
    <row r="398" spans="1:20" ht="13" customHeight="1">
      <c r="A398" s="24" t="s">
        <v>309</v>
      </c>
      <c r="B398" s="24" t="s">
        <v>310</v>
      </c>
      <c r="C398" s="73"/>
      <c r="D398" s="39" t="s">
        <v>311</v>
      </c>
      <c r="E398" s="25" t="s">
        <v>312</v>
      </c>
      <c r="F398" s="25" t="s">
        <v>264</v>
      </c>
      <c r="G398" s="25" t="s">
        <v>265</v>
      </c>
      <c r="H398" s="38"/>
      <c r="I398" s="50" t="s">
        <v>364</v>
      </c>
      <c r="J398" s="36" t="s">
        <v>366</v>
      </c>
      <c r="K398" s="75">
        <f>1802.1</f>
        <v>1802.1</v>
      </c>
      <c r="L398" s="31"/>
      <c r="M398" s="26">
        <f>1848.7</f>
        <v>1848.7</v>
      </c>
      <c r="N398" s="34">
        <f>1451</f>
        <v>1451</v>
      </c>
      <c r="O398" s="26">
        <f>1119.3</f>
        <v>1119.3</v>
      </c>
      <c r="P398" s="26"/>
      <c r="Q398" s="26">
        <f>638.7</f>
        <v>638.70000000000005</v>
      </c>
      <c r="R398" s="26"/>
      <c r="S398" s="84">
        <v>286</v>
      </c>
      <c r="T398" s="5"/>
    </row>
    <row r="399" spans="1:20" ht="13" customHeight="1">
      <c r="A399" s="24" t="s">
        <v>309</v>
      </c>
      <c r="B399" s="24" t="s">
        <v>310</v>
      </c>
      <c r="C399" s="59"/>
      <c r="D399" s="39" t="s">
        <v>311</v>
      </c>
      <c r="E399" s="25" t="s">
        <v>257</v>
      </c>
      <c r="F399" s="25" t="s">
        <v>264</v>
      </c>
      <c r="G399" s="25" t="s">
        <v>259</v>
      </c>
      <c r="H399" s="38"/>
      <c r="I399" s="33" t="s">
        <v>118</v>
      </c>
      <c r="J399" s="29" t="s">
        <v>141</v>
      </c>
      <c r="K399" s="75">
        <f>4.5</f>
        <v>4.5</v>
      </c>
      <c r="L399" s="31"/>
      <c r="M399" s="26">
        <f>9.5</f>
        <v>9.5</v>
      </c>
      <c r="N399" s="26">
        <f>11.6</f>
        <v>11.6</v>
      </c>
      <c r="O399" s="26">
        <f>13.7</f>
        <v>13.7</v>
      </c>
      <c r="P399" s="26"/>
      <c r="Q399" s="26">
        <f>15.6</f>
        <v>15.6</v>
      </c>
      <c r="R399" s="26"/>
      <c r="S399" s="84">
        <f>17</f>
        <v>17</v>
      </c>
      <c r="T399" s="5"/>
    </row>
    <row r="400" spans="1:20" ht="13" customHeight="1">
      <c r="A400" s="24" t="s">
        <v>309</v>
      </c>
      <c r="B400" s="24" t="s">
        <v>310</v>
      </c>
      <c r="C400" s="73"/>
      <c r="D400" s="39" t="s">
        <v>311</v>
      </c>
      <c r="E400" s="25" t="s">
        <v>312</v>
      </c>
      <c r="F400" s="25" t="s">
        <v>264</v>
      </c>
      <c r="G400" s="25" t="s">
        <v>265</v>
      </c>
      <c r="H400" s="38"/>
      <c r="I400" s="33" t="s">
        <v>118</v>
      </c>
      <c r="J400" s="29" t="s">
        <v>141</v>
      </c>
      <c r="K400" s="75">
        <f>4.5</f>
        <v>4.5</v>
      </c>
      <c r="L400" s="31"/>
      <c r="M400" s="26">
        <f>9.5</f>
        <v>9.5</v>
      </c>
      <c r="N400" s="26">
        <f>11.6</f>
        <v>11.6</v>
      </c>
      <c r="O400" s="26">
        <f>13.7</f>
        <v>13.7</v>
      </c>
      <c r="P400" s="26"/>
      <c r="Q400" s="26">
        <f>15.6</f>
        <v>15.6</v>
      </c>
      <c r="R400" s="26"/>
      <c r="S400" s="84">
        <f>17</f>
        <v>17</v>
      </c>
      <c r="T400" s="5"/>
    </row>
    <row r="401" spans="1:20" ht="13" customHeight="1">
      <c r="A401" s="24" t="s">
        <v>309</v>
      </c>
      <c r="B401" s="24" t="s">
        <v>310</v>
      </c>
      <c r="C401" s="59"/>
      <c r="D401" s="39" t="s">
        <v>311</v>
      </c>
      <c r="E401" s="25" t="s">
        <v>257</v>
      </c>
      <c r="F401" s="25" t="s">
        <v>264</v>
      </c>
      <c r="G401" s="25" t="s">
        <v>259</v>
      </c>
      <c r="H401" s="38"/>
      <c r="I401" s="50" t="s">
        <v>367</v>
      </c>
      <c r="J401" s="36" t="s">
        <v>368</v>
      </c>
      <c r="K401" s="75">
        <f>980.1</f>
        <v>980.1</v>
      </c>
      <c r="L401" s="31"/>
      <c r="M401" s="26">
        <f>910.2</f>
        <v>910.2</v>
      </c>
      <c r="N401" s="26">
        <f>873.5</f>
        <v>873.5</v>
      </c>
      <c r="O401" s="26">
        <f>840.1</f>
        <v>840.1</v>
      </c>
      <c r="P401" s="26"/>
      <c r="Q401" s="26">
        <f>783.5</f>
        <v>783.5</v>
      </c>
      <c r="R401" s="26"/>
      <c r="S401" s="32">
        <f>743.7</f>
        <v>743.7</v>
      </c>
      <c r="T401" s="5"/>
    </row>
    <row r="402" spans="1:20" ht="13" customHeight="1">
      <c r="A402" s="24" t="s">
        <v>309</v>
      </c>
      <c r="B402" s="24" t="s">
        <v>310</v>
      </c>
      <c r="C402" s="73"/>
      <c r="D402" s="39" t="s">
        <v>311</v>
      </c>
      <c r="E402" s="25" t="s">
        <v>312</v>
      </c>
      <c r="F402" s="25" t="s">
        <v>264</v>
      </c>
      <c r="G402" s="25" t="s">
        <v>265</v>
      </c>
      <c r="H402" s="38"/>
      <c r="I402" s="50" t="s">
        <v>367</v>
      </c>
      <c r="J402" s="36" t="s">
        <v>368</v>
      </c>
      <c r="K402" s="75">
        <f>980.1</f>
        <v>980.1</v>
      </c>
      <c r="L402" s="31"/>
      <c r="M402" s="26">
        <f>910.2</f>
        <v>910.2</v>
      </c>
      <c r="N402" s="26">
        <f>750.3</f>
        <v>750.3</v>
      </c>
      <c r="O402" s="26">
        <f>611.5</f>
        <v>611.5</v>
      </c>
      <c r="P402" s="26"/>
      <c r="Q402" s="26">
        <f>420.1</f>
        <v>420.1</v>
      </c>
      <c r="R402" s="26"/>
      <c r="S402" s="32">
        <f>278.1</f>
        <v>278.10000000000002</v>
      </c>
      <c r="T402" s="5"/>
    </row>
    <row r="403" spans="1:20" ht="13" customHeight="1">
      <c r="A403" s="24" t="s">
        <v>309</v>
      </c>
      <c r="B403" s="24" t="s">
        <v>310</v>
      </c>
      <c r="C403" s="59"/>
      <c r="D403" s="39" t="s">
        <v>311</v>
      </c>
      <c r="E403" s="25" t="s">
        <v>257</v>
      </c>
      <c r="F403" s="25" t="s">
        <v>264</v>
      </c>
      <c r="G403" s="25" t="s">
        <v>259</v>
      </c>
      <c r="H403" s="38"/>
      <c r="I403" s="28" t="s">
        <v>369</v>
      </c>
      <c r="J403" s="29" t="s">
        <v>141</v>
      </c>
      <c r="K403" s="75">
        <f>10.9</f>
        <v>10.9</v>
      </c>
      <c r="L403" s="31"/>
      <c r="M403" s="26">
        <f>13.1</f>
        <v>13.1</v>
      </c>
      <c r="N403" s="26">
        <f>15.9</f>
        <v>15.9</v>
      </c>
      <c r="O403" s="26">
        <f>18.4</f>
        <v>18.399999999999999</v>
      </c>
      <c r="P403" s="26"/>
      <c r="Q403" s="26">
        <f>20.7</f>
        <v>20.7</v>
      </c>
      <c r="R403" s="26"/>
      <c r="S403" s="84">
        <f>23</f>
        <v>23</v>
      </c>
      <c r="T403" s="5"/>
    </row>
    <row r="404" spans="1:20" ht="13" customHeight="1">
      <c r="A404" s="24" t="s">
        <v>309</v>
      </c>
      <c r="B404" s="24" t="s">
        <v>310</v>
      </c>
      <c r="C404" s="73"/>
      <c r="D404" s="39" t="s">
        <v>311</v>
      </c>
      <c r="E404" s="25" t="s">
        <v>312</v>
      </c>
      <c r="F404" s="25" t="s">
        <v>264</v>
      </c>
      <c r="G404" s="25" t="s">
        <v>265</v>
      </c>
      <c r="H404" s="38"/>
      <c r="I404" s="28" t="s">
        <v>369</v>
      </c>
      <c r="J404" s="29" t="s">
        <v>141</v>
      </c>
      <c r="K404" s="75">
        <f>10.9</f>
        <v>10.9</v>
      </c>
      <c r="L404" s="31"/>
      <c r="M404" s="26">
        <f>13.1</f>
        <v>13.1</v>
      </c>
      <c r="N404" s="26">
        <f>15.9</f>
        <v>15.9</v>
      </c>
      <c r="O404" s="26">
        <f>18.4</f>
        <v>18.399999999999999</v>
      </c>
      <c r="P404" s="26"/>
      <c r="Q404" s="26">
        <f>20.7</f>
        <v>20.7</v>
      </c>
      <c r="R404" s="26"/>
      <c r="S404" s="84">
        <f>23</f>
        <v>23</v>
      </c>
      <c r="T404" s="5"/>
    </row>
    <row r="405" spans="1:20" ht="13" customHeight="1">
      <c r="A405" s="24" t="s">
        <v>309</v>
      </c>
      <c r="B405" s="24" t="s">
        <v>310</v>
      </c>
      <c r="C405" s="59"/>
      <c r="D405" s="39" t="s">
        <v>311</v>
      </c>
      <c r="E405" s="25" t="s">
        <v>257</v>
      </c>
      <c r="F405" s="25" t="s">
        <v>264</v>
      </c>
      <c r="G405" s="25" t="s">
        <v>259</v>
      </c>
      <c r="H405" s="38"/>
      <c r="I405" s="50" t="s">
        <v>370</v>
      </c>
      <c r="J405" s="36" t="s">
        <v>371</v>
      </c>
      <c r="K405" s="75">
        <f>537.7</f>
        <v>537.70000000000005</v>
      </c>
      <c r="L405" s="31"/>
      <c r="M405" s="26">
        <f>572.4</f>
        <v>572.4</v>
      </c>
      <c r="N405" s="26">
        <f>565.4</f>
        <v>565.4</v>
      </c>
      <c r="O405" s="26">
        <f>558.6</f>
        <v>558.6</v>
      </c>
      <c r="P405" s="26"/>
      <c r="Q405" s="26">
        <f>545.5</f>
        <v>545.5</v>
      </c>
      <c r="R405" s="26"/>
      <c r="S405" s="32">
        <f>533.1</f>
        <v>533.1</v>
      </c>
      <c r="T405" s="5"/>
    </row>
    <row r="406" spans="1:20" ht="13" customHeight="1">
      <c r="A406" s="24" t="s">
        <v>309</v>
      </c>
      <c r="B406" s="24" t="s">
        <v>310</v>
      </c>
      <c r="C406" s="73"/>
      <c r="D406" s="39" t="s">
        <v>311</v>
      </c>
      <c r="E406" s="25" t="s">
        <v>312</v>
      </c>
      <c r="F406" s="25" t="s">
        <v>264</v>
      </c>
      <c r="G406" s="25" t="s">
        <v>265</v>
      </c>
      <c r="H406" s="38"/>
      <c r="I406" s="50" t="s">
        <v>370</v>
      </c>
      <c r="J406" s="36" t="s">
        <v>371</v>
      </c>
      <c r="K406" s="75">
        <f>537.7</f>
        <v>537.70000000000005</v>
      </c>
      <c r="L406" s="31"/>
      <c r="M406" s="26">
        <f>572.4</f>
        <v>572.4</v>
      </c>
      <c r="N406" s="26">
        <f>563.9</f>
        <v>563.9</v>
      </c>
      <c r="O406" s="26">
        <f>556</f>
        <v>556</v>
      </c>
      <c r="P406" s="26"/>
      <c r="Q406" s="26">
        <f>541.9</f>
        <v>541.9</v>
      </c>
      <c r="R406" s="26"/>
      <c r="S406" s="32">
        <f>529.1</f>
        <v>529.1</v>
      </c>
      <c r="T406" s="5"/>
    </row>
    <row r="407" spans="1:20" ht="13" customHeight="1">
      <c r="A407" s="24" t="s">
        <v>309</v>
      </c>
      <c r="B407" s="24" t="s">
        <v>310</v>
      </c>
      <c r="C407" s="59"/>
      <c r="D407" s="39" t="s">
        <v>311</v>
      </c>
      <c r="E407" s="25" t="s">
        <v>257</v>
      </c>
      <c r="F407" s="25" t="s">
        <v>264</v>
      </c>
      <c r="G407" s="25" t="s">
        <v>259</v>
      </c>
      <c r="H407" s="38"/>
      <c r="I407" s="28" t="s">
        <v>372</v>
      </c>
      <c r="J407" s="29" t="s">
        <v>141</v>
      </c>
      <c r="K407" s="75">
        <f>4.1</f>
        <v>4.0999999999999996</v>
      </c>
      <c r="L407" s="31"/>
      <c r="M407" s="26">
        <f>4.6</f>
        <v>4.5999999999999996</v>
      </c>
      <c r="N407" s="26">
        <f>5.5</f>
        <v>5.5</v>
      </c>
      <c r="O407" s="26">
        <f>6.4</f>
        <v>6.4</v>
      </c>
      <c r="P407" s="26"/>
      <c r="Q407" s="26">
        <f>7.2</f>
        <v>7.2</v>
      </c>
      <c r="R407" s="26"/>
      <c r="S407" s="32">
        <f>8</f>
        <v>8</v>
      </c>
      <c r="T407" s="5"/>
    </row>
    <row r="408" spans="1:20" ht="13" customHeight="1">
      <c r="A408" s="24" t="s">
        <v>309</v>
      </c>
      <c r="B408" s="24" t="s">
        <v>310</v>
      </c>
      <c r="C408" s="73"/>
      <c r="D408" s="39" t="s">
        <v>311</v>
      </c>
      <c r="E408" s="25" t="s">
        <v>312</v>
      </c>
      <c r="F408" s="25" t="s">
        <v>264</v>
      </c>
      <c r="G408" s="25" t="s">
        <v>265</v>
      </c>
      <c r="H408" s="38"/>
      <c r="I408" s="28" t="s">
        <v>372</v>
      </c>
      <c r="J408" s="29" t="s">
        <v>141</v>
      </c>
      <c r="K408" s="75">
        <f>4.1</f>
        <v>4.0999999999999996</v>
      </c>
      <c r="L408" s="31"/>
      <c r="M408" s="26">
        <f>4.6</f>
        <v>4.5999999999999996</v>
      </c>
      <c r="N408" s="26">
        <f>5.5</f>
        <v>5.5</v>
      </c>
      <c r="O408" s="26">
        <f>6.4</f>
        <v>6.4</v>
      </c>
      <c r="P408" s="26"/>
      <c r="Q408" s="26">
        <f>7.2</f>
        <v>7.2</v>
      </c>
      <c r="R408" s="26"/>
      <c r="S408" s="32">
        <f>8</f>
        <v>8</v>
      </c>
      <c r="T408" s="5"/>
    </row>
    <row r="409" spans="1:20" ht="13" customHeight="1">
      <c r="A409" s="24" t="s">
        <v>309</v>
      </c>
      <c r="B409" s="24" t="s">
        <v>310</v>
      </c>
      <c r="C409" s="59"/>
      <c r="D409" s="39" t="s">
        <v>311</v>
      </c>
      <c r="E409" s="25" t="s">
        <v>257</v>
      </c>
      <c r="F409" s="25" t="s">
        <v>264</v>
      </c>
      <c r="G409" s="25" t="s">
        <v>259</v>
      </c>
      <c r="H409" s="38"/>
      <c r="I409" s="50" t="s">
        <v>373</v>
      </c>
      <c r="J409" s="36" t="s">
        <v>374</v>
      </c>
      <c r="K409" s="75">
        <f>61.1</f>
        <v>61.1</v>
      </c>
      <c r="L409" s="31"/>
      <c r="M409" s="26">
        <f>49.4</f>
        <v>49.4</v>
      </c>
      <c r="N409" s="26">
        <f>43.8</f>
        <v>43.8</v>
      </c>
      <c r="O409" s="26">
        <f>38.9</f>
        <v>38.9</v>
      </c>
      <c r="P409" s="26"/>
      <c r="Q409" s="26">
        <f>30.9</f>
        <v>30.9</v>
      </c>
      <c r="R409" s="26"/>
      <c r="S409" s="32">
        <f>25.9</f>
        <v>25.9</v>
      </c>
      <c r="T409" s="5"/>
    </row>
    <row r="410" spans="1:20" ht="13" customHeight="1">
      <c r="A410" s="24" t="s">
        <v>309</v>
      </c>
      <c r="B410" s="24" t="s">
        <v>310</v>
      </c>
      <c r="C410" s="73"/>
      <c r="D410" s="39" t="s">
        <v>311</v>
      </c>
      <c r="E410" s="25" t="s">
        <v>312</v>
      </c>
      <c r="F410" s="25" t="s">
        <v>264</v>
      </c>
      <c r="G410" s="25" t="s">
        <v>265</v>
      </c>
      <c r="H410" s="38"/>
      <c r="I410" s="50" t="s">
        <v>373</v>
      </c>
      <c r="J410" s="36" t="s">
        <v>374</v>
      </c>
      <c r="K410" s="75">
        <f>61.1</f>
        <v>61.1</v>
      </c>
      <c r="L410" s="31"/>
      <c r="M410" s="26">
        <f>49.4</f>
        <v>49.4</v>
      </c>
      <c r="N410" s="26">
        <f>37.4</f>
        <v>37.4</v>
      </c>
      <c r="O410" s="26">
        <f>27.9</f>
        <v>27.9</v>
      </c>
      <c r="P410" s="26"/>
      <c r="Q410" s="34">
        <f>16</f>
        <v>16</v>
      </c>
      <c r="R410" s="26"/>
      <c r="S410" s="32">
        <f>9.1</f>
        <v>9.1</v>
      </c>
      <c r="T410" s="5"/>
    </row>
    <row r="411" spans="1:20" ht="13" customHeight="1">
      <c r="A411" s="24" t="s">
        <v>309</v>
      </c>
      <c r="B411" s="24" t="s">
        <v>310</v>
      </c>
      <c r="C411" s="59"/>
      <c r="D411" s="39" t="s">
        <v>311</v>
      </c>
      <c r="E411" s="25" t="s">
        <v>257</v>
      </c>
      <c r="F411" s="25" t="s">
        <v>264</v>
      </c>
      <c r="G411" s="25" t="s">
        <v>259</v>
      </c>
      <c r="H411" s="38"/>
      <c r="I411" s="28" t="s">
        <v>375</v>
      </c>
      <c r="J411" s="29" t="s">
        <v>141</v>
      </c>
      <c r="K411" s="75">
        <f>8.6</f>
        <v>8.6</v>
      </c>
      <c r="L411" s="31"/>
      <c r="M411" s="26">
        <f>14.3</f>
        <v>14.3</v>
      </c>
      <c r="N411" s="26">
        <f>17.3</f>
        <v>17.3</v>
      </c>
      <c r="O411" s="26">
        <f>20</f>
        <v>20</v>
      </c>
      <c r="P411" s="26"/>
      <c r="Q411" s="26">
        <f>22.6</f>
        <v>22.6</v>
      </c>
      <c r="R411" s="26"/>
      <c r="S411" s="32">
        <f>25.1</f>
        <v>25.1</v>
      </c>
      <c r="T411" s="5"/>
    </row>
    <row r="412" spans="1:20" ht="13" customHeight="1">
      <c r="A412" s="24" t="s">
        <v>309</v>
      </c>
      <c r="B412" s="24" t="s">
        <v>310</v>
      </c>
      <c r="C412" s="73"/>
      <c r="D412" s="39" t="s">
        <v>311</v>
      </c>
      <c r="E412" s="25" t="s">
        <v>312</v>
      </c>
      <c r="F412" s="25" t="s">
        <v>264</v>
      </c>
      <c r="G412" s="25" t="s">
        <v>265</v>
      </c>
      <c r="H412" s="38"/>
      <c r="I412" s="28" t="s">
        <v>375</v>
      </c>
      <c r="J412" s="29" t="s">
        <v>141</v>
      </c>
      <c r="K412" s="75">
        <f>8.6</f>
        <v>8.6</v>
      </c>
      <c r="L412" s="31"/>
      <c r="M412" s="26">
        <f>14.3</f>
        <v>14.3</v>
      </c>
      <c r="N412" s="26">
        <f>17.3</f>
        <v>17.3</v>
      </c>
      <c r="O412" s="26">
        <f>20</f>
        <v>20</v>
      </c>
      <c r="P412" s="26"/>
      <c r="Q412" s="26">
        <f>22.6</f>
        <v>22.6</v>
      </c>
      <c r="R412" s="26"/>
      <c r="S412" s="32">
        <f>25.1</f>
        <v>25.1</v>
      </c>
      <c r="T412" s="5"/>
    </row>
    <row r="413" spans="1:20" ht="13" customHeight="1">
      <c r="A413" s="24" t="s">
        <v>309</v>
      </c>
      <c r="B413" s="24" t="s">
        <v>310</v>
      </c>
      <c r="C413" s="59"/>
      <c r="D413" s="39" t="s">
        <v>311</v>
      </c>
      <c r="E413" s="25" t="s">
        <v>257</v>
      </c>
      <c r="F413" s="25" t="s">
        <v>264</v>
      </c>
      <c r="G413" s="25" t="s">
        <v>259</v>
      </c>
      <c r="H413" s="38"/>
      <c r="I413" s="50" t="s">
        <v>376</v>
      </c>
      <c r="J413" s="36" t="s">
        <v>374</v>
      </c>
      <c r="K413" s="75">
        <f>34.4</f>
        <v>34.4</v>
      </c>
      <c r="L413" s="31"/>
      <c r="M413" s="26">
        <f>25.9</f>
        <v>25.9</v>
      </c>
      <c r="N413" s="26">
        <f>23</f>
        <v>23</v>
      </c>
      <c r="O413" s="26">
        <f>20.4</f>
        <v>20.399999999999999</v>
      </c>
      <c r="P413" s="26"/>
      <c r="Q413" s="26">
        <f>16.2</f>
        <v>16.2</v>
      </c>
      <c r="R413" s="26"/>
      <c r="S413" s="32">
        <f>13.6</f>
        <v>13.6</v>
      </c>
      <c r="T413" s="5"/>
    </row>
    <row r="414" spans="1:20" ht="13" customHeight="1">
      <c r="A414" s="24" t="s">
        <v>309</v>
      </c>
      <c r="B414" s="24" t="s">
        <v>310</v>
      </c>
      <c r="C414" s="73"/>
      <c r="D414" s="39" t="s">
        <v>311</v>
      </c>
      <c r="E414" s="25" t="s">
        <v>312</v>
      </c>
      <c r="F414" s="25" t="s">
        <v>264</v>
      </c>
      <c r="G414" s="25" t="s">
        <v>265</v>
      </c>
      <c r="H414" s="38"/>
      <c r="I414" s="50" t="s">
        <v>376</v>
      </c>
      <c r="J414" s="60" t="s">
        <v>374</v>
      </c>
      <c r="K414" s="75">
        <f>34.4</f>
        <v>34.4</v>
      </c>
      <c r="L414" s="31"/>
      <c r="M414" s="26">
        <f>25.9</f>
        <v>25.9</v>
      </c>
      <c r="N414" s="26">
        <f>19.6</f>
        <v>19.600000000000001</v>
      </c>
      <c r="O414" s="26">
        <f>14.6</f>
        <v>14.6</v>
      </c>
      <c r="P414" s="26"/>
      <c r="Q414" s="26">
        <f>8.4</f>
        <v>8.4</v>
      </c>
      <c r="R414" s="26"/>
      <c r="S414" s="32">
        <f>4.8</f>
        <v>4.8</v>
      </c>
      <c r="T414" s="5"/>
    </row>
    <row r="415" spans="1:20" ht="13" customHeight="1">
      <c r="A415" s="24" t="s">
        <v>309</v>
      </c>
      <c r="B415" s="24" t="s">
        <v>310</v>
      </c>
      <c r="C415" s="59"/>
      <c r="D415" s="39" t="s">
        <v>311</v>
      </c>
      <c r="E415" s="25" t="s">
        <v>257</v>
      </c>
      <c r="F415" s="25" t="s">
        <v>264</v>
      </c>
      <c r="G415" s="25" t="s">
        <v>259</v>
      </c>
      <c r="H415" s="38"/>
      <c r="I415" s="80" t="s">
        <v>377</v>
      </c>
      <c r="J415" s="36" t="s">
        <v>267</v>
      </c>
      <c r="K415" s="75">
        <f>59</f>
        <v>59</v>
      </c>
      <c r="L415" s="31"/>
      <c r="M415" s="26">
        <f>67.3</f>
        <v>67.3</v>
      </c>
      <c r="N415" s="26">
        <f>69.9</f>
        <v>69.900000000000006</v>
      </c>
      <c r="O415" s="26">
        <f>72.7</f>
        <v>72.7</v>
      </c>
      <c r="P415" s="26"/>
      <c r="Q415" s="26">
        <f>76.7</f>
        <v>76.7</v>
      </c>
      <c r="R415" s="26"/>
      <c r="S415" s="32">
        <f>78.7</f>
        <v>78.7</v>
      </c>
      <c r="T415" s="5"/>
    </row>
    <row r="416" spans="1:20" ht="13" customHeight="1">
      <c r="A416" s="24" t="s">
        <v>309</v>
      </c>
      <c r="B416" s="24" t="s">
        <v>310</v>
      </c>
      <c r="C416" s="73"/>
      <c r="D416" s="39" t="s">
        <v>311</v>
      </c>
      <c r="E416" s="25" t="s">
        <v>312</v>
      </c>
      <c r="F416" s="25" t="s">
        <v>264</v>
      </c>
      <c r="G416" s="25" t="s">
        <v>265</v>
      </c>
      <c r="H416" s="38"/>
      <c r="I416" s="50" t="s">
        <v>377</v>
      </c>
      <c r="J416" s="36" t="s">
        <v>267</v>
      </c>
      <c r="K416" s="75">
        <f>59</f>
        <v>59</v>
      </c>
      <c r="L416" s="31"/>
      <c r="M416" s="26">
        <f>67.2</f>
        <v>67.2</v>
      </c>
      <c r="N416" s="26">
        <f>68.2</f>
        <v>68.2</v>
      </c>
      <c r="O416" s="26">
        <f>68.6</f>
        <v>68.599999999999994</v>
      </c>
      <c r="P416" s="26"/>
      <c r="Q416" s="26">
        <f>68.1</f>
        <v>68.099999999999994</v>
      </c>
      <c r="R416" s="26"/>
      <c r="S416" s="32">
        <f>61.7</f>
        <v>61.7</v>
      </c>
      <c r="T416" s="5"/>
    </row>
    <row r="417" spans="1:20" ht="13" customHeight="1">
      <c r="A417" s="24" t="s">
        <v>309</v>
      </c>
      <c r="B417" s="24" t="s">
        <v>310</v>
      </c>
      <c r="C417" s="59"/>
      <c r="D417" s="39" t="s">
        <v>311</v>
      </c>
      <c r="E417" s="25" t="s">
        <v>257</v>
      </c>
      <c r="F417" s="25" t="s">
        <v>264</v>
      </c>
      <c r="G417" s="25" t="s">
        <v>259</v>
      </c>
      <c r="H417" s="38"/>
      <c r="I417" s="33" t="s">
        <v>378</v>
      </c>
      <c r="J417" s="83" t="s">
        <v>141</v>
      </c>
      <c r="K417" s="75">
        <f>41.8</f>
        <v>41.8</v>
      </c>
      <c r="L417" s="31"/>
      <c r="M417" s="26">
        <v>50.9</v>
      </c>
      <c r="N417" s="26">
        <f>55.5</f>
        <v>55.5</v>
      </c>
      <c r="O417" s="26">
        <f>60.5</f>
        <v>60.5</v>
      </c>
      <c r="P417" s="26"/>
      <c r="Q417" s="26">
        <f>68.8</f>
        <v>68.8</v>
      </c>
      <c r="R417" s="26"/>
      <c r="S417" s="32">
        <f>75.1</f>
        <v>75.099999999999994</v>
      </c>
      <c r="T417" s="5"/>
    </row>
    <row r="418" spans="1:20" ht="13" customHeight="1">
      <c r="A418" s="24" t="s">
        <v>309</v>
      </c>
      <c r="B418" s="24" t="s">
        <v>310</v>
      </c>
      <c r="C418" s="73"/>
      <c r="D418" s="39" t="s">
        <v>311</v>
      </c>
      <c r="E418" s="25" t="s">
        <v>312</v>
      </c>
      <c r="F418" s="25" t="s">
        <v>264</v>
      </c>
      <c r="G418" s="25" t="s">
        <v>265</v>
      </c>
      <c r="H418" s="38"/>
      <c r="I418" s="33" t="s">
        <v>378</v>
      </c>
      <c r="J418" s="29" t="s">
        <v>141</v>
      </c>
      <c r="K418" s="75">
        <f>41.8</f>
        <v>41.8</v>
      </c>
      <c r="L418" s="31"/>
      <c r="M418" s="26">
        <v>50.9</v>
      </c>
      <c r="N418" s="26">
        <f>55.5</f>
        <v>55.5</v>
      </c>
      <c r="O418" s="26">
        <f>60.5</f>
        <v>60.5</v>
      </c>
      <c r="P418" s="26"/>
      <c r="Q418" s="26">
        <f>68.8</f>
        <v>68.8</v>
      </c>
      <c r="R418" s="26"/>
      <c r="S418" s="32">
        <f>75.1</f>
        <v>75.099999999999994</v>
      </c>
      <c r="T418" s="5"/>
    </row>
    <row r="419" spans="1:20" ht="13" customHeight="1">
      <c r="A419" s="24" t="s">
        <v>309</v>
      </c>
      <c r="B419" s="24" t="s">
        <v>310</v>
      </c>
      <c r="C419" s="59"/>
      <c r="D419" s="39" t="s">
        <v>311</v>
      </c>
      <c r="E419" s="25" t="s">
        <v>257</v>
      </c>
      <c r="F419" s="25" t="s">
        <v>264</v>
      </c>
      <c r="G419" s="25" t="s">
        <v>259</v>
      </c>
      <c r="H419" s="38"/>
      <c r="I419" s="50" t="s">
        <v>379</v>
      </c>
      <c r="J419" s="36" t="s">
        <v>380</v>
      </c>
      <c r="K419" s="75">
        <f>714.8</f>
        <v>714.8</v>
      </c>
      <c r="L419" s="31"/>
      <c r="M419" s="26">
        <f>724.3</f>
        <v>724.3</v>
      </c>
      <c r="N419" s="26">
        <f>707.2</f>
        <v>707.2</v>
      </c>
      <c r="O419" s="26">
        <f>692.1</f>
        <v>692.1</v>
      </c>
      <c r="P419" s="26"/>
      <c r="Q419" s="34">
        <f>662</f>
        <v>662</v>
      </c>
      <c r="R419" s="26"/>
      <c r="S419" s="32">
        <f>631.9</f>
        <v>631.9</v>
      </c>
      <c r="T419" s="5"/>
    </row>
    <row r="420" spans="1:20" ht="13" customHeight="1">
      <c r="A420" s="24" t="s">
        <v>309</v>
      </c>
      <c r="B420" s="24" t="s">
        <v>310</v>
      </c>
      <c r="C420" s="73"/>
      <c r="D420" s="39" t="s">
        <v>311</v>
      </c>
      <c r="E420" s="25" t="s">
        <v>312</v>
      </c>
      <c r="F420" s="25" t="s">
        <v>264</v>
      </c>
      <c r="G420" s="25" t="s">
        <v>265</v>
      </c>
      <c r="H420" s="38"/>
      <c r="I420" s="50" t="s">
        <v>379</v>
      </c>
      <c r="J420" s="36" t="s">
        <v>380</v>
      </c>
      <c r="K420" s="75">
        <f>714.8</f>
        <v>714.8</v>
      </c>
      <c r="L420" s="31"/>
      <c r="M420" s="26">
        <f>722.2</f>
        <v>722.2</v>
      </c>
      <c r="N420" s="26">
        <f>687.9</f>
        <v>687.9</v>
      </c>
      <c r="O420" s="26">
        <f>649.8</f>
        <v>649.79999999999995</v>
      </c>
      <c r="P420" s="26"/>
      <c r="Q420" s="26">
        <f>581.9</f>
        <v>581.9</v>
      </c>
      <c r="R420" s="26"/>
      <c r="S420" s="32">
        <f>487.8</f>
        <v>487.8</v>
      </c>
      <c r="T420" s="5"/>
    </row>
    <row r="421" spans="1:20" ht="13" customHeight="1">
      <c r="A421" s="24" t="s">
        <v>309</v>
      </c>
      <c r="B421" s="24" t="s">
        <v>310</v>
      </c>
      <c r="C421" s="59"/>
      <c r="D421" s="39" t="s">
        <v>311</v>
      </c>
      <c r="E421" s="25" t="s">
        <v>257</v>
      </c>
      <c r="F421" s="25" t="s">
        <v>264</v>
      </c>
      <c r="G421" s="25" t="s">
        <v>259</v>
      </c>
      <c r="H421" s="38"/>
      <c r="I421" s="33" t="s">
        <v>128</v>
      </c>
      <c r="J421" s="29" t="s">
        <v>141</v>
      </c>
      <c r="K421" s="75">
        <f>57</f>
        <v>57</v>
      </c>
      <c r="L421" s="31"/>
      <c r="M421" s="34">
        <f>70</f>
        <v>70</v>
      </c>
      <c r="N421" s="26">
        <f>76.3</f>
        <v>76.3</v>
      </c>
      <c r="O421" s="26">
        <f>83.2</f>
        <v>83.2</v>
      </c>
      <c r="P421" s="26"/>
      <c r="Q421" s="26">
        <f>94.7</f>
        <v>94.7</v>
      </c>
      <c r="R421" s="26"/>
      <c r="S421" s="32">
        <f>103.3</f>
        <v>103.3</v>
      </c>
      <c r="T421" s="5"/>
    </row>
    <row r="422" spans="1:20" ht="13" customHeight="1">
      <c r="A422" s="24" t="s">
        <v>309</v>
      </c>
      <c r="B422" s="24" t="s">
        <v>310</v>
      </c>
      <c r="C422" s="73"/>
      <c r="D422" s="39" t="s">
        <v>311</v>
      </c>
      <c r="E422" s="25" t="s">
        <v>312</v>
      </c>
      <c r="F422" s="25" t="s">
        <v>264</v>
      </c>
      <c r="G422" s="25" t="s">
        <v>265</v>
      </c>
      <c r="H422" s="38"/>
      <c r="I422" s="33" t="s">
        <v>128</v>
      </c>
      <c r="J422" s="29" t="s">
        <v>141</v>
      </c>
      <c r="K422" s="75">
        <f>57</f>
        <v>57</v>
      </c>
      <c r="L422" s="31"/>
      <c r="M422" s="34">
        <f>70</f>
        <v>70</v>
      </c>
      <c r="N422" s="26">
        <f>76.3</f>
        <v>76.3</v>
      </c>
      <c r="O422" s="26">
        <f>83.2</f>
        <v>83.2</v>
      </c>
      <c r="P422" s="26"/>
      <c r="Q422" s="26">
        <f>94.7</f>
        <v>94.7</v>
      </c>
      <c r="R422" s="26"/>
      <c r="S422" s="32">
        <f>103.3</f>
        <v>103.3</v>
      </c>
      <c r="T422" s="5"/>
    </row>
    <row r="423" spans="1:20" ht="13" customHeight="1">
      <c r="A423" s="24" t="s">
        <v>309</v>
      </c>
      <c r="B423" s="24" t="s">
        <v>310</v>
      </c>
      <c r="C423" s="59"/>
      <c r="D423" s="39" t="s">
        <v>311</v>
      </c>
      <c r="E423" s="25" t="s">
        <v>257</v>
      </c>
      <c r="F423" s="25" t="s">
        <v>264</v>
      </c>
      <c r="G423" s="25" t="s">
        <v>259</v>
      </c>
      <c r="H423" s="38"/>
      <c r="I423" s="52" t="s">
        <v>381</v>
      </c>
      <c r="J423" s="29" t="s">
        <v>98</v>
      </c>
      <c r="K423" s="90">
        <f>0.6</f>
        <v>0.6</v>
      </c>
      <c r="L423" s="31"/>
      <c r="M423" s="72">
        <f>0.6</f>
        <v>0.6</v>
      </c>
      <c r="N423" s="72">
        <f>0.6</f>
        <v>0.6</v>
      </c>
      <c r="O423" s="72">
        <f>0.6</f>
        <v>0.6</v>
      </c>
      <c r="P423" s="26"/>
      <c r="Q423" s="72">
        <f>0.6</f>
        <v>0.6</v>
      </c>
      <c r="R423" s="26"/>
      <c r="S423" s="74">
        <f>0.6</f>
        <v>0.6</v>
      </c>
      <c r="T423" s="5"/>
    </row>
    <row r="424" spans="1:20" ht="13" customHeight="1">
      <c r="A424" s="24" t="s">
        <v>309</v>
      </c>
      <c r="B424" s="24" t="s">
        <v>310</v>
      </c>
      <c r="C424" s="73"/>
      <c r="D424" s="39" t="s">
        <v>311</v>
      </c>
      <c r="E424" s="25" t="s">
        <v>312</v>
      </c>
      <c r="F424" s="25" t="s">
        <v>264</v>
      </c>
      <c r="G424" s="25" t="s">
        <v>265</v>
      </c>
      <c r="H424" s="38"/>
      <c r="I424" s="52" t="s">
        <v>381</v>
      </c>
      <c r="J424" s="29" t="s">
        <v>98</v>
      </c>
      <c r="K424" s="90">
        <f>0.6</f>
        <v>0.6</v>
      </c>
      <c r="L424" s="31"/>
      <c r="M424" s="72">
        <f>0.62</f>
        <v>0.62</v>
      </c>
      <c r="N424" s="72">
        <f>0.65</f>
        <v>0.65</v>
      </c>
      <c r="O424" s="72">
        <f>0.68</f>
        <v>0.68</v>
      </c>
      <c r="P424" s="26"/>
      <c r="Q424" s="72">
        <f>0.76</f>
        <v>0.76</v>
      </c>
      <c r="R424" s="26"/>
      <c r="S424" s="74">
        <f>0.84</f>
        <v>0.84</v>
      </c>
      <c r="T424" s="5"/>
    </row>
    <row r="425" spans="1:20" ht="13" customHeight="1">
      <c r="A425" s="24" t="s">
        <v>309</v>
      </c>
      <c r="B425" s="24" t="s">
        <v>310</v>
      </c>
      <c r="C425" s="59"/>
      <c r="D425" s="39" t="s">
        <v>311</v>
      </c>
      <c r="E425" s="25" t="s">
        <v>257</v>
      </c>
      <c r="F425" s="25" t="s">
        <v>264</v>
      </c>
      <c r="G425" s="25" t="s">
        <v>259</v>
      </c>
      <c r="H425" s="38"/>
      <c r="I425" s="50" t="s">
        <v>382</v>
      </c>
      <c r="J425" s="36" t="s">
        <v>383</v>
      </c>
      <c r="K425" s="75">
        <f>38.8</f>
        <v>38.799999999999997</v>
      </c>
      <c r="L425" s="31"/>
      <c r="M425" s="26">
        <f>32.7</f>
        <v>32.700000000000003</v>
      </c>
      <c r="N425" s="26">
        <f>32</f>
        <v>32</v>
      </c>
      <c r="O425" s="26">
        <f>31.3</f>
        <v>31.3</v>
      </c>
      <c r="P425" s="26"/>
      <c r="Q425" s="34">
        <f>30</f>
        <v>30</v>
      </c>
      <c r="R425" s="26"/>
      <c r="S425" s="32">
        <f>28.6</f>
        <v>28.6</v>
      </c>
      <c r="T425" s="5"/>
    </row>
    <row r="426" spans="1:20" ht="13" customHeight="1">
      <c r="A426" s="24" t="s">
        <v>309</v>
      </c>
      <c r="B426" s="24" t="s">
        <v>310</v>
      </c>
      <c r="C426" s="73"/>
      <c r="D426" s="39" t="s">
        <v>311</v>
      </c>
      <c r="E426" s="25" t="s">
        <v>312</v>
      </c>
      <c r="F426" s="25" t="s">
        <v>264</v>
      </c>
      <c r="G426" s="25" t="s">
        <v>265</v>
      </c>
      <c r="H426" s="38"/>
      <c r="I426" s="50" t="s">
        <v>382</v>
      </c>
      <c r="J426" s="36" t="s">
        <v>383</v>
      </c>
      <c r="K426" s="75">
        <f>38.8</f>
        <v>38.799999999999997</v>
      </c>
      <c r="L426" s="31"/>
      <c r="M426" s="26">
        <f>32.7</f>
        <v>32.700000000000003</v>
      </c>
      <c r="N426" s="26">
        <f>31.4</f>
        <v>31.4</v>
      </c>
      <c r="O426" s="26">
        <f>29.8</f>
        <v>29.8</v>
      </c>
      <c r="P426" s="26"/>
      <c r="Q426" s="34">
        <f>27</f>
        <v>27</v>
      </c>
      <c r="R426" s="26"/>
      <c r="S426" s="32">
        <f>22.9</f>
        <v>22.9</v>
      </c>
      <c r="T426" s="5"/>
    </row>
    <row r="427" spans="1:20" ht="36" customHeight="1">
      <c r="A427" s="24" t="s">
        <v>31</v>
      </c>
      <c r="B427" s="25" t="s">
        <v>384</v>
      </c>
      <c r="C427" s="73"/>
      <c r="D427" s="39" t="s">
        <v>385</v>
      </c>
      <c r="E427" s="24" t="s">
        <v>386</v>
      </c>
      <c r="F427" s="25" t="s">
        <v>258</v>
      </c>
      <c r="G427" s="25" t="s">
        <v>387</v>
      </c>
      <c r="H427" s="38"/>
      <c r="I427" s="50" t="s">
        <v>195</v>
      </c>
      <c r="J427" s="29" t="s">
        <v>141</v>
      </c>
      <c r="K427" s="82">
        <v>10.913</v>
      </c>
      <c r="L427" s="55">
        <v>12.401426600000001</v>
      </c>
      <c r="M427" s="34">
        <v>15.3019028447208</v>
      </c>
      <c r="N427" s="34">
        <v>17.777525627934299</v>
      </c>
      <c r="O427" s="34">
        <v>19.089527555019</v>
      </c>
      <c r="P427" s="34">
        <v>20.847048241295401</v>
      </c>
      <c r="Q427" s="34">
        <v>22.536806882134201</v>
      </c>
      <c r="R427" s="26"/>
      <c r="S427" s="32"/>
      <c r="T427" s="5"/>
    </row>
    <row r="428" spans="1:20" ht="37.75" customHeight="1">
      <c r="A428" s="24" t="s">
        <v>31</v>
      </c>
      <c r="B428" s="25" t="s">
        <v>384</v>
      </c>
      <c r="C428" s="73"/>
      <c r="D428" s="39" t="s">
        <v>385</v>
      </c>
      <c r="E428" s="24" t="s">
        <v>388</v>
      </c>
      <c r="F428" s="25" t="s">
        <v>389</v>
      </c>
      <c r="G428" s="25" t="s">
        <v>259</v>
      </c>
      <c r="H428" s="38"/>
      <c r="I428" s="28" t="s">
        <v>390</v>
      </c>
      <c r="J428" s="29" t="s">
        <v>141</v>
      </c>
      <c r="K428" s="82">
        <v>9.5679999999999996</v>
      </c>
      <c r="L428" s="55">
        <v>12.8464024390244</v>
      </c>
      <c r="M428" s="34">
        <v>12.6</v>
      </c>
      <c r="N428" s="26">
        <v>13.5</v>
      </c>
      <c r="O428" s="26">
        <v>14.1</v>
      </c>
      <c r="P428" s="26">
        <v>15.1</v>
      </c>
      <c r="Q428" s="26">
        <v>15.6</v>
      </c>
      <c r="R428" s="26"/>
      <c r="S428" s="32"/>
      <c r="T428" s="5"/>
    </row>
    <row r="429" spans="1:20" ht="34.75" customHeight="1">
      <c r="A429" s="24" t="s">
        <v>31</v>
      </c>
      <c r="B429" s="25" t="s">
        <v>384</v>
      </c>
      <c r="C429" s="73"/>
      <c r="D429" s="39" t="s">
        <v>385</v>
      </c>
      <c r="E429" s="24" t="s">
        <v>386</v>
      </c>
      <c r="F429" s="25" t="s">
        <v>258</v>
      </c>
      <c r="G429" s="25" t="s">
        <v>387</v>
      </c>
      <c r="H429" s="38"/>
      <c r="I429" s="28" t="s">
        <v>390</v>
      </c>
      <c r="J429" s="29" t="s">
        <v>141</v>
      </c>
      <c r="K429" s="82">
        <v>9.5679999999999996</v>
      </c>
      <c r="L429" s="55">
        <v>12.846</v>
      </c>
      <c r="M429" s="34">
        <v>14.664999999999999</v>
      </c>
      <c r="N429" s="34">
        <v>17.213999999999999</v>
      </c>
      <c r="O429" s="34">
        <v>18.564</v>
      </c>
      <c r="P429" s="34">
        <v>20.373999999999999</v>
      </c>
      <c r="Q429" s="34">
        <v>22.113</v>
      </c>
      <c r="R429" s="26"/>
      <c r="S429" s="32"/>
      <c r="T429" s="5"/>
    </row>
    <row r="430" spans="1:20" ht="37.25" customHeight="1">
      <c r="A430" s="24" t="s">
        <v>31</v>
      </c>
      <c r="B430" s="25" t="s">
        <v>384</v>
      </c>
      <c r="C430" s="73"/>
      <c r="D430" s="39" t="s">
        <v>385</v>
      </c>
      <c r="E430" s="24" t="s">
        <v>386</v>
      </c>
      <c r="F430" s="25" t="s">
        <v>258</v>
      </c>
      <c r="G430" s="25" t="s">
        <v>387</v>
      </c>
      <c r="H430" s="38"/>
      <c r="I430" s="50" t="s">
        <v>391</v>
      </c>
      <c r="J430" s="36" t="s">
        <v>321</v>
      </c>
      <c r="K430" s="91">
        <v>0.89287140602232296</v>
      </c>
      <c r="L430" s="92">
        <v>1.17558573858486</v>
      </c>
      <c r="M430" s="93">
        <v>1.1453157621485499</v>
      </c>
      <c r="N430" s="93">
        <v>1.10470018256644</v>
      </c>
      <c r="O430" s="93">
        <v>0.98400206705522497</v>
      </c>
      <c r="P430" s="93">
        <v>0.88392816298980803</v>
      </c>
      <c r="Q430" s="93">
        <v>0.76643429245289096</v>
      </c>
      <c r="R430" s="26"/>
      <c r="S430" s="32"/>
      <c r="T430" s="5"/>
    </row>
    <row r="431" spans="1:20" ht="39.65" customHeight="1">
      <c r="A431" s="24" t="s">
        <v>31</v>
      </c>
      <c r="B431" s="25" t="s">
        <v>384</v>
      </c>
      <c r="C431" s="73"/>
      <c r="D431" s="39" t="s">
        <v>385</v>
      </c>
      <c r="E431" s="24" t="s">
        <v>386</v>
      </c>
      <c r="F431" s="25" t="s">
        <v>258</v>
      </c>
      <c r="G431" s="25" t="s">
        <v>387</v>
      </c>
      <c r="H431" s="38"/>
      <c r="I431" s="50" t="s">
        <v>392</v>
      </c>
      <c r="J431" s="60" t="s">
        <v>393</v>
      </c>
      <c r="K431" s="82">
        <v>93.318499793303005</v>
      </c>
      <c r="L431" s="55">
        <v>91.172668773231507</v>
      </c>
      <c r="M431" s="34">
        <v>78.0965757322749</v>
      </c>
      <c r="N431" s="34">
        <v>64.175238883911902</v>
      </c>
      <c r="O431" s="34">
        <v>53.004803081491502</v>
      </c>
      <c r="P431" s="34">
        <v>43.385952362295797</v>
      </c>
      <c r="Q431" s="34">
        <v>34.659808047766397</v>
      </c>
      <c r="R431" s="26"/>
      <c r="S431" s="32"/>
      <c r="T431" s="5"/>
    </row>
    <row r="432" spans="1:20" ht="26.4" customHeight="1">
      <c r="A432" s="24" t="s">
        <v>31</v>
      </c>
      <c r="B432" s="25" t="s">
        <v>384</v>
      </c>
      <c r="C432" s="73"/>
      <c r="D432" s="39" t="s">
        <v>385</v>
      </c>
      <c r="E432" s="24" t="s">
        <v>386</v>
      </c>
      <c r="F432" s="25" t="s">
        <v>258</v>
      </c>
      <c r="G432" s="25" t="s">
        <v>387</v>
      </c>
      <c r="H432" s="38"/>
      <c r="I432" s="56" t="s">
        <v>394</v>
      </c>
      <c r="J432" s="36" t="s">
        <v>267</v>
      </c>
      <c r="K432" s="75">
        <v>16.3</v>
      </c>
      <c r="L432" s="31">
        <v>23.2</v>
      </c>
      <c r="M432" s="26">
        <v>19.5</v>
      </c>
      <c r="N432" s="26">
        <v>18.899999999999999</v>
      </c>
      <c r="O432" s="26">
        <v>17</v>
      </c>
      <c r="P432" s="26">
        <v>15.5</v>
      </c>
      <c r="Q432" s="26">
        <v>13.8</v>
      </c>
      <c r="R432" s="26"/>
      <c r="S432" s="32"/>
      <c r="T432" s="5"/>
    </row>
    <row r="433" spans="1:20" ht="27.65" customHeight="1">
      <c r="A433" s="24" t="s">
        <v>31</v>
      </c>
      <c r="B433" s="25" t="s">
        <v>384</v>
      </c>
      <c r="C433" s="73"/>
      <c r="D433" s="39" t="s">
        <v>385</v>
      </c>
      <c r="E433" s="24" t="s">
        <v>386</v>
      </c>
      <c r="F433" s="25" t="s">
        <v>258</v>
      </c>
      <c r="G433" s="25" t="s">
        <v>387</v>
      </c>
      <c r="H433" s="38"/>
      <c r="I433" s="50" t="s">
        <v>370</v>
      </c>
      <c r="J433" s="61" t="s">
        <v>371</v>
      </c>
      <c r="K433" s="82">
        <v>1708.42290202563</v>
      </c>
      <c r="L433" s="55">
        <v>1809</v>
      </c>
      <c r="M433" s="34">
        <v>1329</v>
      </c>
      <c r="N433" s="34">
        <v>1098</v>
      </c>
      <c r="O433" s="34">
        <v>915</v>
      </c>
      <c r="P433" s="34">
        <v>760</v>
      </c>
      <c r="Q433" s="34">
        <v>623</v>
      </c>
      <c r="R433" s="26"/>
      <c r="S433" s="32"/>
      <c r="T433" s="5"/>
    </row>
    <row r="434" spans="1:20" ht="25.75" customHeight="1">
      <c r="A434" s="24" t="s">
        <v>32</v>
      </c>
      <c r="B434" s="25" t="s">
        <v>384</v>
      </c>
      <c r="C434" s="73"/>
      <c r="D434" s="39" t="s">
        <v>311</v>
      </c>
      <c r="E434" s="24" t="s">
        <v>386</v>
      </c>
      <c r="F434" s="25" t="s">
        <v>258</v>
      </c>
      <c r="G434" s="25" t="s">
        <v>387</v>
      </c>
      <c r="H434" s="38"/>
      <c r="I434" s="50" t="s">
        <v>113</v>
      </c>
      <c r="J434" s="29" t="s">
        <v>141</v>
      </c>
      <c r="K434" s="82">
        <v>19.2224</v>
      </c>
      <c r="L434" s="55">
        <v>16.752073955583501</v>
      </c>
      <c r="M434" s="34">
        <v>23.308757302727201</v>
      </c>
      <c r="N434" s="34">
        <v>26.6983379434581</v>
      </c>
      <c r="O434" s="34">
        <v>29.399673638086501</v>
      </c>
      <c r="P434" s="34">
        <v>32.402317907745498</v>
      </c>
      <c r="Q434" s="34">
        <v>35.279806440795802</v>
      </c>
      <c r="R434" s="26"/>
      <c r="S434" s="32">
        <f>43.3</f>
        <v>43.3</v>
      </c>
      <c r="T434" s="5"/>
    </row>
    <row r="435" spans="1:20" ht="24" customHeight="1">
      <c r="A435" s="24" t="s">
        <v>32</v>
      </c>
      <c r="B435" s="25" t="s">
        <v>384</v>
      </c>
      <c r="C435" s="73"/>
      <c r="D435" s="39" t="s">
        <v>311</v>
      </c>
      <c r="E435" s="24" t="s">
        <v>386</v>
      </c>
      <c r="F435" s="25" t="s">
        <v>258</v>
      </c>
      <c r="G435" s="25" t="s">
        <v>387</v>
      </c>
      <c r="H435" s="38"/>
      <c r="I435" s="52" t="s">
        <v>395</v>
      </c>
      <c r="J435" s="29" t="s">
        <v>98</v>
      </c>
      <c r="K435" s="87">
        <v>1</v>
      </c>
      <c r="L435" s="42">
        <v>1</v>
      </c>
      <c r="M435" s="43">
        <v>1</v>
      </c>
      <c r="N435" s="43">
        <v>1</v>
      </c>
      <c r="O435" s="43">
        <v>0.91893907252662399</v>
      </c>
      <c r="P435" s="43">
        <v>0.75447638849558096</v>
      </c>
      <c r="Q435" s="43">
        <v>0.68455389228352403</v>
      </c>
      <c r="R435" s="26"/>
      <c r="S435" s="94">
        <v>0.48799999999999999</v>
      </c>
      <c r="T435" s="5"/>
    </row>
    <row r="436" spans="1:20" ht="25.75" customHeight="1">
      <c r="A436" s="24" t="s">
        <v>32</v>
      </c>
      <c r="B436" s="25" t="s">
        <v>384</v>
      </c>
      <c r="C436" s="73"/>
      <c r="D436" s="39" t="s">
        <v>311</v>
      </c>
      <c r="E436" s="24" t="s">
        <v>386</v>
      </c>
      <c r="F436" s="25" t="s">
        <v>258</v>
      </c>
      <c r="G436" s="25" t="s">
        <v>387</v>
      </c>
      <c r="H436" s="38"/>
      <c r="I436" s="52" t="s">
        <v>436</v>
      </c>
      <c r="J436" s="29" t="s">
        <v>98</v>
      </c>
      <c r="K436" s="87">
        <v>0</v>
      </c>
      <c r="L436" s="42">
        <v>0</v>
      </c>
      <c r="M436" s="43">
        <v>0</v>
      </c>
      <c r="N436" s="43">
        <v>0</v>
      </c>
      <c r="O436" s="43">
        <v>7.48727988182388E-2</v>
      </c>
      <c r="P436" s="43">
        <v>0.225498466838079</v>
      </c>
      <c r="Q436" s="43">
        <v>0.288560998998731</v>
      </c>
      <c r="R436" s="26"/>
      <c r="S436" s="88">
        <f>0.459</f>
        <v>0.45900000000000002</v>
      </c>
      <c r="T436" s="5"/>
    </row>
    <row r="437" spans="1:20" ht="26.4" customHeight="1">
      <c r="A437" s="24" t="s">
        <v>32</v>
      </c>
      <c r="B437" s="25" t="s">
        <v>384</v>
      </c>
      <c r="C437" s="73"/>
      <c r="D437" s="39" t="s">
        <v>311</v>
      </c>
      <c r="E437" s="24" t="s">
        <v>386</v>
      </c>
      <c r="F437" s="25" t="s">
        <v>258</v>
      </c>
      <c r="G437" s="25" t="s">
        <v>387</v>
      </c>
      <c r="H437" s="38"/>
      <c r="I437" s="52" t="s">
        <v>397</v>
      </c>
      <c r="J437" s="29" t="s">
        <v>98</v>
      </c>
      <c r="K437" s="87">
        <v>0</v>
      </c>
      <c r="L437" s="42">
        <v>0</v>
      </c>
      <c r="M437" s="43">
        <v>0</v>
      </c>
      <c r="N437" s="43">
        <v>0</v>
      </c>
      <c r="O437" s="43">
        <v>6.1881286551374697E-3</v>
      </c>
      <c r="P437" s="43">
        <v>2.0025144666339801E-2</v>
      </c>
      <c r="Q437" s="43">
        <v>2.6885108717744601E-2</v>
      </c>
      <c r="R437" s="26"/>
      <c r="S437" s="95">
        <v>5.2999999999999999E-2</v>
      </c>
      <c r="T437" s="5"/>
    </row>
    <row r="438" spans="1:20" ht="26.4" customHeight="1">
      <c r="A438" s="24" t="s">
        <v>32</v>
      </c>
      <c r="B438" s="25" t="s">
        <v>384</v>
      </c>
      <c r="C438" s="73"/>
      <c r="D438" s="39" t="s">
        <v>311</v>
      </c>
      <c r="E438" s="24" t="s">
        <v>386</v>
      </c>
      <c r="F438" s="25" t="s">
        <v>258</v>
      </c>
      <c r="G438" s="25" t="s">
        <v>387</v>
      </c>
      <c r="H438" s="38"/>
      <c r="I438" s="50" t="s">
        <v>398</v>
      </c>
      <c r="J438" s="36" t="s">
        <v>321</v>
      </c>
      <c r="K438" s="82">
        <v>24.181000000000001</v>
      </c>
      <c r="L438" s="55">
        <v>20.209010377510801</v>
      </c>
      <c r="M438" s="34">
        <v>26.298088779741001</v>
      </c>
      <c r="N438" s="34">
        <v>28.832833957285601</v>
      </c>
      <c r="O438" s="34">
        <v>30.917991598297</v>
      </c>
      <c r="P438" s="34">
        <v>33.167230857158103</v>
      </c>
      <c r="Q438" s="34">
        <v>35.374619567173397</v>
      </c>
      <c r="R438" s="26"/>
      <c r="S438" s="32">
        <f>40.2</f>
        <v>40.200000000000003</v>
      </c>
      <c r="T438" s="5"/>
    </row>
    <row r="439" spans="1:20" ht="31.25" customHeight="1">
      <c r="A439" s="24" t="s">
        <v>32</v>
      </c>
      <c r="B439" s="25" t="s">
        <v>384</v>
      </c>
      <c r="C439" s="73"/>
      <c r="D439" s="39" t="s">
        <v>311</v>
      </c>
      <c r="E439" s="24" t="s">
        <v>386</v>
      </c>
      <c r="F439" s="25" t="s">
        <v>258</v>
      </c>
      <c r="G439" s="25" t="s">
        <v>387</v>
      </c>
      <c r="H439" s="38"/>
      <c r="I439" s="50" t="s">
        <v>399</v>
      </c>
      <c r="J439" s="60" t="s">
        <v>400</v>
      </c>
      <c r="K439" s="82">
        <v>1258</v>
      </c>
      <c r="L439" s="55">
        <v>1206.3587130222199</v>
      </c>
      <c r="M439" s="34">
        <v>1128.2492858022999</v>
      </c>
      <c r="N439" s="34">
        <v>1079.94864767792</v>
      </c>
      <c r="O439" s="34">
        <v>1051.6440413217299</v>
      </c>
      <c r="P439" s="34">
        <v>1023.60673553017</v>
      </c>
      <c r="Q439" s="34">
        <v>1002.6874616372</v>
      </c>
      <c r="R439" s="26"/>
      <c r="S439" s="32">
        <f>927.6</f>
        <v>927.6</v>
      </c>
      <c r="T439" s="5"/>
    </row>
    <row r="440" spans="1:20" ht="25.75" customHeight="1">
      <c r="A440" s="24" t="s">
        <v>32</v>
      </c>
      <c r="B440" s="25" t="s">
        <v>384</v>
      </c>
      <c r="C440" s="73"/>
      <c r="D440" s="39" t="s">
        <v>311</v>
      </c>
      <c r="E440" s="24" t="s">
        <v>386</v>
      </c>
      <c r="F440" s="25" t="s">
        <v>258</v>
      </c>
      <c r="G440" s="25" t="s">
        <v>387</v>
      </c>
      <c r="H440" s="38"/>
      <c r="I440" s="56" t="s">
        <v>401</v>
      </c>
      <c r="J440" s="36" t="s">
        <v>267</v>
      </c>
      <c r="K440" s="82">
        <v>29.985979258465601</v>
      </c>
      <c r="L440" s="55">
        <v>28.522350899571901</v>
      </c>
      <c r="M440" s="34">
        <v>38.916656975905397</v>
      </c>
      <c r="N440" s="34">
        <v>42.755506967183202</v>
      </c>
      <c r="O440" s="34">
        <v>40.595770854170802</v>
      </c>
      <c r="P440" s="34">
        <v>31.851321824386901</v>
      </c>
      <c r="Q440" s="34">
        <v>28.1841751854687</v>
      </c>
      <c r="R440" s="26"/>
      <c r="S440" s="32">
        <f>14</f>
        <v>14</v>
      </c>
      <c r="T440" s="5"/>
    </row>
    <row r="441" spans="1:20" ht="29.4" customHeight="1">
      <c r="A441" s="24" t="s">
        <v>32</v>
      </c>
      <c r="B441" s="25" t="s">
        <v>384</v>
      </c>
      <c r="C441" s="73"/>
      <c r="D441" s="39" t="s">
        <v>311</v>
      </c>
      <c r="E441" s="24" t="s">
        <v>386</v>
      </c>
      <c r="F441" s="25" t="s">
        <v>258</v>
      </c>
      <c r="G441" s="25" t="s">
        <v>387</v>
      </c>
      <c r="H441" s="38"/>
      <c r="I441" s="50" t="s">
        <v>364</v>
      </c>
      <c r="J441" s="61" t="s">
        <v>365</v>
      </c>
      <c r="K441" s="82">
        <v>1935</v>
      </c>
      <c r="L441" s="55">
        <v>1858.46310091947</v>
      </c>
      <c r="M441" s="34">
        <v>1833.33369091947</v>
      </c>
      <c r="N441" s="34">
        <v>1812.39251591947</v>
      </c>
      <c r="O441" s="34">
        <v>1787.24947335192</v>
      </c>
      <c r="P441" s="34">
        <v>1748.07023344854</v>
      </c>
      <c r="Q441" s="34">
        <v>1717.98262875928</v>
      </c>
      <c r="R441" s="26"/>
      <c r="S441" s="32">
        <f>1639</f>
        <v>1639</v>
      </c>
      <c r="T441" s="5"/>
    </row>
    <row r="442" spans="1:20" ht="40.25" customHeight="1">
      <c r="A442" s="24" t="s">
        <v>32</v>
      </c>
      <c r="B442" s="25" t="s">
        <v>384</v>
      </c>
      <c r="C442" s="73"/>
      <c r="D442" s="39" t="s">
        <v>311</v>
      </c>
      <c r="E442" s="24" t="s">
        <v>386</v>
      </c>
      <c r="F442" s="25" t="s">
        <v>258</v>
      </c>
      <c r="G442" s="25" t="s">
        <v>387</v>
      </c>
      <c r="H442" s="38"/>
      <c r="I442" s="50" t="s">
        <v>402</v>
      </c>
      <c r="J442" s="36" t="s">
        <v>365</v>
      </c>
      <c r="K442" s="82">
        <v>1592.34170229495</v>
      </c>
      <c r="L442" s="55">
        <v>1443.82071736127</v>
      </c>
      <c r="M442" s="34">
        <v>1456.3494895399399</v>
      </c>
      <c r="N442" s="34">
        <v>1440.2560732514601</v>
      </c>
      <c r="O442" s="34">
        <v>1324.27796081318</v>
      </c>
      <c r="P442" s="34">
        <v>967.14344454183595</v>
      </c>
      <c r="Q442" s="34">
        <v>810.087065356165</v>
      </c>
      <c r="R442" s="26"/>
      <c r="S442" s="32">
        <f>338</f>
        <v>338</v>
      </c>
      <c r="T442" s="5"/>
    </row>
    <row r="443" spans="1:20" ht="37.25" customHeight="1">
      <c r="A443" s="39" t="s">
        <v>33</v>
      </c>
      <c r="B443" s="25" t="s">
        <v>384</v>
      </c>
      <c r="C443" s="73"/>
      <c r="D443" s="39" t="s">
        <v>139</v>
      </c>
      <c r="E443" s="24" t="s">
        <v>386</v>
      </c>
      <c r="F443" s="25" t="s">
        <v>258</v>
      </c>
      <c r="G443" s="25" t="s">
        <v>387</v>
      </c>
      <c r="H443" s="38"/>
      <c r="I443" s="33" t="s">
        <v>378</v>
      </c>
      <c r="J443" s="29" t="s">
        <v>141</v>
      </c>
      <c r="K443" s="82">
        <v>52.43</v>
      </c>
      <c r="L443" s="55">
        <v>56.527900000000002</v>
      </c>
      <c r="M443" s="34">
        <v>70.924313195617202</v>
      </c>
      <c r="N443" s="34">
        <v>69.788910424648805</v>
      </c>
      <c r="O443" s="34">
        <v>66.826244904940495</v>
      </c>
      <c r="P443" s="34">
        <v>63.476773501856698</v>
      </c>
      <c r="Q443" s="34">
        <v>59.935703212822197</v>
      </c>
      <c r="R443" s="26"/>
      <c r="S443" s="86">
        <v>54.028680731346597</v>
      </c>
      <c r="T443" s="5"/>
    </row>
    <row r="444" spans="1:20" ht="34.25" customHeight="1">
      <c r="A444" s="24" t="s">
        <v>33</v>
      </c>
      <c r="B444" s="25" t="s">
        <v>384</v>
      </c>
      <c r="C444" s="73"/>
      <c r="D444" s="39" t="s">
        <v>139</v>
      </c>
      <c r="E444" s="24" t="s">
        <v>386</v>
      </c>
      <c r="F444" s="25" t="s">
        <v>258</v>
      </c>
      <c r="G444" s="25" t="s">
        <v>387</v>
      </c>
      <c r="H444" s="38"/>
      <c r="I444" s="33" t="s">
        <v>128</v>
      </c>
      <c r="J444" s="29" t="s">
        <v>141</v>
      </c>
      <c r="K444" s="82">
        <v>57.7</v>
      </c>
      <c r="L444" s="55">
        <v>64.825000000000003</v>
      </c>
      <c r="M444" s="34">
        <v>86.328815366528204</v>
      </c>
      <c r="N444" s="34">
        <v>89.767186239210901</v>
      </c>
      <c r="O444" s="34">
        <v>90.834076333086898</v>
      </c>
      <c r="P444" s="34">
        <v>91.177387018234199</v>
      </c>
      <c r="Q444" s="34">
        <v>90.976338816434705</v>
      </c>
      <c r="R444" s="26"/>
      <c r="S444" s="86">
        <v>91.581619087543203</v>
      </c>
      <c r="T444" s="5"/>
    </row>
    <row r="445" spans="1:20" ht="40.25" customHeight="1">
      <c r="A445" s="24" t="s">
        <v>33</v>
      </c>
      <c r="B445" s="25" t="s">
        <v>384</v>
      </c>
      <c r="C445" s="73"/>
      <c r="D445" s="39" t="s">
        <v>139</v>
      </c>
      <c r="E445" s="24" t="s">
        <v>386</v>
      </c>
      <c r="F445" s="25" t="s">
        <v>258</v>
      </c>
      <c r="G445" s="25" t="s">
        <v>387</v>
      </c>
      <c r="H445" s="38"/>
      <c r="I445" s="52" t="s">
        <v>403</v>
      </c>
      <c r="J445" s="29" t="s">
        <v>98</v>
      </c>
      <c r="K445" s="90">
        <v>0.57719237435008697</v>
      </c>
      <c r="L445" s="46">
        <v>0.56999999999999995</v>
      </c>
      <c r="M445" s="47">
        <v>0.65400000000000003</v>
      </c>
      <c r="N445" s="47">
        <v>0.72399999999999998</v>
      </c>
      <c r="O445" s="47">
        <v>0.79400000000000004</v>
      </c>
      <c r="P445" s="47">
        <v>0.86399999999999999</v>
      </c>
      <c r="Q445" s="47">
        <v>0.93400000000000005</v>
      </c>
      <c r="R445" s="65"/>
      <c r="S445" s="88">
        <v>1</v>
      </c>
      <c r="T445" s="5"/>
    </row>
    <row r="446" spans="1:20" ht="37.75" customHeight="1">
      <c r="A446" s="24" t="s">
        <v>33</v>
      </c>
      <c r="B446" s="25" t="s">
        <v>384</v>
      </c>
      <c r="C446" s="73"/>
      <c r="D446" s="39" t="s">
        <v>139</v>
      </c>
      <c r="E446" s="24" t="s">
        <v>386</v>
      </c>
      <c r="F446" s="25" t="s">
        <v>258</v>
      </c>
      <c r="G446" s="25" t="s">
        <v>387</v>
      </c>
      <c r="H446" s="38"/>
      <c r="I446" s="50" t="s">
        <v>437</v>
      </c>
      <c r="J446" s="36" t="s">
        <v>321</v>
      </c>
      <c r="K446" s="82">
        <v>8.7707499999999996</v>
      </c>
      <c r="L446" s="55">
        <v>9.8809699999999996</v>
      </c>
      <c r="M446" s="34">
        <v>11.7977714622258</v>
      </c>
      <c r="N446" s="34">
        <v>11.1558435146531</v>
      </c>
      <c r="O446" s="34">
        <v>10.2702412799744</v>
      </c>
      <c r="P446" s="34">
        <v>9.3838155686571803</v>
      </c>
      <c r="Q446" s="34">
        <v>8.52710706263308</v>
      </c>
      <c r="R446" s="26"/>
      <c r="S446" s="86">
        <v>7.1307120208250501</v>
      </c>
      <c r="T446" s="5"/>
    </row>
    <row r="447" spans="1:20" ht="36.65" customHeight="1">
      <c r="A447" s="24" t="s">
        <v>33</v>
      </c>
      <c r="B447" s="25" t="s">
        <v>384</v>
      </c>
      <c r="C447" s="73"/>
      <c r="D447" s="39" t="s">
        <v>139</v>
      </c>
      <c r="E447" s="24" t="s">
        <v>386</v>
      </c>
      <c r="F447" s="25" t="s">
        <v>258</v>
      </c>
      <c r="G447" s="25" t="s">
        <v>387</v>
      </c>
      <c r="H447" s="38"/>
      <c r="I447" s="50" t="s">
        <v>438</v>
      </c>
      <c r="J447" s="60" t="s">
        <v>406</v>
      </c>
      <c r="K447" s="82">
        <v>141.408807188319</v>
      </c>
      <c r="L447" s="55">
        <v>135.56115639748</v>
      </c>
      <c r="M447" s="34">
        <v>114.544310173949</v>
      </c>
      <c r="N447" s="34">
        <v>98.8062480256729</v>
      </c>
      <c r="O447" s="34">
        <v>92.15</v>
      </c>
      <c r="P447" s="34">
        <v>92.15</v>
      </c>
      <c r="Q447" s="34">
        <v>92.15</v>
      </c>
      <c r="R447" s="26"/>
      <c r="S447" s="84">
        <v>92.15</v>
      </c>
      <c r="T447" s="5"/>
    </row>
    <row r="448" spans="1:20" ht="37.75" customHeight="1">
      <c r="A448" s="24" t="s">
        <v>33</v>
      </c>
      <c r="B448" s="25" t="s">
        <v>384</v>
      </c>
      <c r="C448" s="73"/>
      <c r="D448" s="39" t="s">
        <v>139</v>
      </c>
      <c r="E448" s="24" t="s">
        <v>386</v>
      </c>
      <c r="F448" s="25" t="s">
        <v>258</v>
      </c>
      <c r="G448" s="25" t="s">
        <v>387</v>
      </c>
      <c r="H448" s="38"/>
      <c r="I448" s="56" t="s">
        <v>407</v>
      </c>
      <c r="J448" s="36" t="s">
        <v>267</v>
      </c>
      <c r="K448" s="82">
        <v>42.930769293083998</v>
      </c>
      <c r="L448" s="55">
        <v>46.242804148302199</v>
      </c>
      <c r="M448" s="34">
        <v>53.017466477536303</v>
      </c>
      <c r="N448" s="34">
        <v>49.855749849692202</v>
      </c>
      <c r="O448" s="34">
        <v>41.787024610594898</v>
      </c>
      <c r="P448" s="34">
        <v>34.310671985298399</v>
      </c>
      <c r="Q448" s="34">
        <v>27.597220891289201</v>
      </c>
      <c r="R448" s="26"/>
      <c r="S448" s="84">
        <v>16.5217490691652</v>
      </c>
      <c r="T448" s="5"/>
    </row>
    <row r="449" spans="1:20" ht="25.75" customHeight="1">
      <c r="A449" s="24" t="s">
        <v>33</v>
      </c>
      <c r="B449" s="25" t="s">
        <v>384</v>
      </c>
      <c r="C449" s="73"/>
      <c r="D449" s="39" t="s">
        <v>139</v>
      </c>
      <c r="E449" s="24" t="s">
        <v>386</v>
      </c>
      <c r="F449" s="25" t="s">
        <v>258</v>
      </c>
      <c r="G449" s="25" t="s">
        <v>387</v>
      </c>
      <c r="H449" s="38"/>
      <c r="I449" s="50" t="s">
        <v>408</v>
      </c>
      <c r="J449" s="36" t="s">
        <v>383</v>
      </c>
      <c r="K449" s="82">
        <v>671</v>
      </c>
      <c r="L449" s="55">
        <v>676.48767357007205</v>
      </c>
      <c r="M449" s="34">
        <v>588.41631675037002</v>
      </c>
      <c r="N449" s="34">
        <v>543.93089671950804</v>
      </c>
      <c r="O449" s="34">
        <v>502.60317952841098</v>
      </c>
      <c r="P449" s="34">
        <v>464.96433872357898</v>
      </c>
      <c r="Q449" s="34">
        <v>430.80859682733399</v>
      </c>
      <c r="R449" s="26"/>
      <c r="S449" s="84">
        <v>369.853997208208</v>
      </c>
      <c r="T449" s="5"/>
    </row>
    <row r="450" spans="1:20" ht="29.4" customHeight="1">
      <c r="A450" s="39" t="s">
        <v>34</v>
      </c>
      <c r="B450" s="25" t="s">
        <v>384</v>
      </c>
      <c r="C450" s="73"/>
      <c r="D450" s="39" t="s">
        <v>409</v>
      </c>
      <c r="E450" s="24" t="s">
        <v>386</v>
      </c>
      <c r="F450" s="25" t="s">
        <v>258</v>
      </c>
      <c r="G450" s="25" t="s">
        <v>387</v>
      </c>
      <c r="H450" s="96"/>
      <c r="I450" s="80" t="s">
        <v>410</v>
      </c>
      <c r="J450" s="36" t="s">
        <v>267</v>
      </c>
      <c r="K450" s="97">
        <v>496.05192186301502</v>
      </c>
      <c r="L450" s="98">
        <v>441.70667227041997</v>
      </c>
      <c r="M450" s="99">
        <v>385.24380077976201</v>
      </c>
      <c r="N450" s="99">
        <v>329.02363921505099</v>
      </c>
      <c r="O450" s="99">
        <v>264.53089510254199</v>
      </c>
      <c r="P450" s="100">
        <v>214.186770037277</v>
      </c>
      <c r="Q450" s="99">
        <v>184.318227594229</v>
      </c>
      <c r="R450" s="99">
        <v>164.79509045544401</v>
      </c>
      <c r="S450" s="101">
        <v>148.84121624941599</v>
      </c>
      <c r="T450" s="5"/>
    </row>
    <row r="451" spans="1:20" ht="29.4" customHeight="1">
      <c r="A451" s="39"/>
      <c r="B451" s="25" t="s">
        <v>384</v>
      </c>
      <c r="C451" s="73"/>
      <c r="D451" s="39" t="s">
        <v>409</v>
      </c>
      <c r="E451" s="24" t="s">
        <v>388</v>
      </c>
      <c r="F451" s="25" t="s">
        <v>389</v>
      </c>
      <c r="G451" s="25" t="s">
        <v>259</v>
      </c>
      <c r="H451" s="96"/>
      <c r="I451" s="80" t="s">
        <v>410</v>
      </c>
      <c r="J451" s="36" t="s">
        <v>267</v>
      </c>
      <c r="K451" s="97" t="e">
        <f>#REF!</f>
        <v>#REF!</v>
      </c>
      <c r="L451" s="102" t="e">
        <f>#REF!</f>
        <v>#REF!</v>
      </c>
      <c r="M451" s="99" t="e">
        <f>#REF!</f>
        <v>#REF!</v>
      </c>
      <c r="N451" s="99" t="e">
        <f>#REF!</f>
        <v>#REF!</v>
      </c>
      <c r="O451" s="99" t="e">
        <f>#REF!</f>
        <v>#REF!</v>
      </c>
      <c r="P451" s="99" t="e">
        <f>#REF!</f>
        <v>#REF!</v>
      </c>
      <c r="Q451" s="99" t="e">
        <f>#REF!</f>
        <v>#REF!</v>
      </c>
      <c r="R451" s="99" t="e">
        <f>#REF!</f>
        <v>#REF!</v>
      </c>
      <c r="S451" s="101" t="e">
        <f>#REF!</f>
        <v>#REF!</v>
      </c>
      <c r="T451" s="5"/>
    </row>
    <row r="452" spans="1:20" ht="29.4" customHeight="1">
      <c r="A452" s="39"/>
      <c r="B452" s="25" t="s">
        <v>384</v>
      </c>
      <c r="C452" s="73"/>
      <c r="D452" s="39" t="s">
        <v>409</v>
      </c>
      <c r="E452" s="24" t="s">
        <v>411</v>
      </c>
      <c r="F452" s="25" t="s">
        <v>258</v>
      </c>
      <c r="G452" s="25" t="s">
        <v>387</v>
      </c>
      <c r="H452" s="96"/>
      <c r="I452" s="80" t="s">
        <v>410</v>
      </c>
      <c r="J452" s="36" t="s">
        <v>267</v>
      </c>
      <c r="K452" s="97">
        <f>Прогнозы_Промышленность!K453</f>
        <v>496.05192186301502</v>
      </c>
      <c r="L452" s="102" t="e">
        <f>#REF!</f>
        <v>#REF!</v>
      </c>
      <c r="M452" s="99" t="e">
        <f>#REF!</f>
        <v>#REF!</v>
      </c>
      <c r="N452" s="99" t="e">
        <f>#REF!</f>
        <v>#REF!</v>
      </c>
      <c r="O452" s="99" t="e">
        <f>#REF!</f>
        <v>#REF!</v>
      </c>
      <c r="P452" s="99" t="e">
        <f>#REF!</f>
        <v>#REF!</v>
      </c>
      <c r="Q452" s="99" t="e">
        <f>#REF!</f>
        <v>#REF!</v>
      </c>
      <c r="R452" s="99" t="e">
        <f>#REF!</f>
        <v>#REF!</v>
      </c>
      <c r="S452" s="101" t="e">
        <f>#REF!</f>
        <v>#REF!</v>
      </c>
      <c r="T452" s="5"/>
    </row>
    <row r="453" spans="1:20" ht="25.25" customHeight="1">
      <c r="A453" s="39" t="s">
        <v>34</v>
      </c>
      <c r="B453" s="25" t="s">
        <v>384</v>
      </c>
      <c r="C453" s="73"/>
      <c r="D453" s="39" t="s">
        <v>409</v>
      </c>
      <c r="E453" s="24" t="s">
        <v>386</v>
      </c>
      <c r="F453" s="25" t="s">
        <v>258</v>
      </c>
      <c r="G453" s="25" t="s">
        <v>387</v>
      </c>
      <c r="H453" s="96"/>
      <c r="I453" s="50" t="s">
        <v>412</v>
      </c>
      <c r="J453" s="36" t="s">
        <v>321</v>
      </c>
      <c r="K453" s="97">
        <f>228.8</f>
        <v>228.8</v>
      </c>
      <c r="L453" s="31"/>
      <c r="M453" s="26">
        <f>245</f>
        <v>245</v>
      </c>
      <c r="N453" s="26"/>
      <c r="O453" s="26">
        <f>207</f>
        <v>207</v>
      </c>
      <c r="P453" s="26"/>
      <c r="Q453" s="26">
        <f>182</f>
        <v>182</v>
      </c>
      <c r="R453" s="26"/>
      <c r="S453" s="32">
        <f>162</f>
        <v>162</v>
      </c>
      <c r="T453" s="5"/>
    </row>
    <row r="454" spans="1:20" ht="28.25" customHeight="1">
      <c r="A454" s="39" t="s">
        <v>34</v>
      </c>
      <c r="B454" s="25" t="s">
        <v>384</v>
      </c>
      <c r="C454" s="73"/>
      <c r="D454" s="39" t="s">
        <v>409</v>
      </c>
      <c r="E454" s="24" t="s">
        <v>386</v>
      </c>
      <c r="F454" s="25" t="s">
        <v>258</v>
      </c>
      <c r="G454" s="25" t="s">
        <v>387</v>
      </c>
      <c r="H454" s="96"/>
      <c r="I454" s="52" t="s">
        <v>413</v>
      </c>
      <c r="J454" s="29" t="s">
        <v>98</v>
      </c>
      <c r="K454" s="90">
        <f>0.22</f>
        <v>0.22</v>
      </c>
      <c r="L454" s="103">
        <v>0.23499999999999999</v>
      </c>
      <c r="M454" s="63">
        <f>0.25</f>
        <v>0.25</v>
      </c>
      <c r="N454" s="26"/>
      <c r="O454" s="63">
        <f>0.33</f>
        <v>0.33</v>
      </c>
      <c r="P454" s="26"/>
      <c r="Q454" s="63">
        <f>0.41</f>
        <v>0.41</v>
      </c>
      <c r="R454" s="26"/>
      <c r="S454" s="104">
        <f>0.49</f>
        <v>0.49</v>
      </c>
      <c r="T454" s="5"/>
    </row>
    <row r="455" spans="1:20" ht="25.75" customHeight="1">
      <c r="A455" s="39" t="s">
        <v>34</v>
      </c>
      <c r="B455" s="25" t="s">
        <v>384</v>
      </c>
      <c r="C455" s="73"/>
      <c r="D455" s="39" t="s">
        <v>409</v>
      </c>
      <c r="E455" s="24" t="s">
        <v>386</v>
      </c>
      <c r="F455" s="25" t="s">
        <v>258</v>
      </c>
      <c r="G455" s="25" t="s">
        <v>387</v>
      </c>
      <c r="H455" s="96"/>
      <c r="I455" s="50" t="s">
        <v>103</v>
      </c>
      <c r="J455" s="36" t="s">
        <v>141</v>
      </c>
      <c r="K455" s="105">
        <f>72.39</f>
        <v>72.39</v>
      </c>
      <c r="L455" s="31"/>
      <c r="M455" s="26">
        <f>78</f>
        <v>78</v>
      </c>
      <c r="N455" s="26"/>
      <c r="O455" s="26">
        <f>80</f>
        <v>80</v>
      </c>
      <c r="P455" s="26"/>
      <c r="Q455" s="26">
        <f>74</f>
        <v>74</v>
      </c>
      <c r="R455" s="26"/>
      <c r="S455" s="32">
        <f>70</f>
        <v>70</v>
      </c>
      <c r="T455" s="5"/>
    </row>
    <row r="456" spans="1:20" ht="28.75" customHeight="1">
      <c r="A456" s="39" t="s">
        <v>34</v>
      </c>
      <c r="B456" s="25" t="s">
        <v>384</v>
      </c>
      <c r="C456" s="73"/>
      <c r="D456" s="39" t="s">
        <v>409</v>
      </c>
      <c r="E456" s="24" t="s">
        <v>386</v>
      </c>
      <c r="F456" s="25" t="s">
        <v>258</v>
      </c>
      <c r="G456" s="25" t="s">
        <v>387</v>
      </c>
      <c r="H456" s="96"/>
      <c r="I456" s="52" t="s">
        <v>414</v>
      </c>
      <c r="J456" s="29" t="s">
        <v>98</v>
      </c>
      <c r="K456" s="75"/>
      <c r="L456" s="31"/>
      <c r="M456" s="63">
        <f>0.53</f>
        <v>0.53</v>
      </c>
      <c r="N456" s="26"/>
      <c r="O456" s="63">
        <f>0.83</f>
        <v>0.83</v>
      </c>
      <c r="P456" s="26"/>
      <c r="Q456" s="63">
        <f>1</f>
        <v>1</v>
      </c>
      <c r="R456" s="26"/>
      <c r="S456" s="104">
        <f>1</f>
        <v>1</v>
      </c>
      <c r="T456" s="5"/>
    </row>
    <row r="457" spans="1:20" ht="28.25" customHeight="1">
      <c r="A457" s="39" t="s">
        <v>34</v>
      </c>
      <c r="B457" s="25" t="s">
        <v>384</v>
      </c>
      <c r="C457" s="73"/>
      <c r="D457" s="39" t="s">
        <v>409</v>
      </c>
      <c r="E457" s="24" t="s">
        <v>386</v>
      </c>
      <c r="F457" s="25" t="s">
        <v>258</v>
      </c>
      <c r="G457" s="25" t="s">
        <v>387</v>
      </c>
      <c r="H457" s="96"/>
      <c r="I457" s="28" t="s">
        <v>347</v>
      </c>
      <c r="J457" s="29" t="s">
        <v>141</v>
      </c>
      <c r="K457" s="82">
        <f>7924/1000</f>
        <v>7.9240000000000004</v>
      </c>
      <c r="L457" s="31"/>
      <c r="M457" s="26">
        <f>18</f>
        <v>18</v>
      </c>
      <c r="N457" s="26"/>
      <c r="O457" s="26">
        <f>37</f>
        <v>37</v>
      </c>
      <c r="P457" s="26"/>
      <c r="Q457" s="106">
        <f>45</f>
        <v>45</v>
      </c>
      <c r="R457" s="26"/>
      <c r="S457" s="32">
        <f>47</f>
        <v>47</v>
      </c>
      <c r="T457" s="5"/>
    </row>
    <row r="458" spans="1:20" ht="25.25" customHeight="1">
      <c r="A458" s="39" t="s">
        <v>34</v>
      </c>
      <c r="B458" s="25" t="s">
        <v>384</v>
      </c>
      <c r="C458" s="73"/>
      <c r="D458" s="39" t="s">
        <v>409</v>
      </c>
      <c r="E458" s="24" t="s">
        <v>386</v>
      </c>
      <c r="F458" s="25" t="s">
        <v>258</v>
      </c>
      <c r="G458" s="25" t="s">
        <v>387</v>
      </c>
      <c r="H458" s="96"/>
      <c r="I458" s="52" t="s">
        <v>415</v>
      </c>
      <c r="J458" s="29" t="s">
        <v>141</v>
      </c>
      <c r="K458" s="75"/>
      <c r="L458" s="31"/>
      <c r="M458" s="26">
        <f>0</f>
        <v>0</v>
      </c>
      <c r="N458" s="26"/>
      <c r="O458" s="26">
        <f>5</f>
        <v>5</v>
      </c>
      <c r="P458" s="26"/>
      <c r="Q458" s="26">
        <f>12</f>
        <v>12</v>
      </c>
      <c r="R458" s="26"/>
      <c r="S458" s="32">
        <f>13</f>
        <v>13</v>
      </c>
      <c r="T458" s="5"/>
    </row>
    <row r="459" spans="1:20" ht="27" customHeight="1">
      <c r="A459" s="39" t="s">
        <v>34</v>
      </c>
      <c r="B459" s="25" t="s">
        <v>384</v>
      </c>
      <c r="C459" s="73"/>
      <c r="D459" s="39" t="s">
        <v>409</v>
      </c>
      <c r="E459" s="24" t="s">
        <v>386</v>
      </c>
      <c r="F459" s="25" t="s">
        <v>258</v>
      </c>
      <c r="G459" s="25" t="s">
        <v>387</v>
      </c>
      <c r="H459" s="96"/>
      <c r="I459" s="52" t="s">
        <v>416</v>
      </c>
      <c r="J459" s="29" t="s">
        <v>141</v>
      </c>
      <c r="K459" s="75"/>
      <c r="L459" s="31"/>
      <c r="M459" s="26">
        <f>0</f>
        <v>0</v>
      </c>
      <c r="N459" s="26"/>
      <c r="O459" s="26">
        <f>5</f>
        <v>5</v>
      </c>
      <c r="P459" s="26"/>
      <c r="Q459" s="26">
        <f>11</f>
        <v>11</v>
      </c>
      <c r="R459" s="26"/>
      <c r="S459" s="32">
        <f>13</f>
        <v>13</v>
      </c>
      <c r="T459" s="5"/>
    </row>
    <row r="460" spans="1:20" ht="25.75" customHeight="1">
      <c r="A460" s="39" t="s">
        <v>34</v>
      </c>
      <c r="B460" s="25" t="s">
        <v>384</v>
      </c>
      <c r="C460" s="73"/>
      <c r="D460" s="39" t="s">
        <v>409</v>
      </c>
      <c r="E460" s="24" t="s">
        <v>386</v>
      </c>
      <c r="F460" s="25" t="s">
        <v>258</v>
      </c>
      <c r="G460" s="25" t="s">
        <v>387</v>
      </c>
      <c r="H460" s="96"/>
      <c r="I460" s="28" t="s">
        <v>417</v>
      </c>
      <c r="J460" s="29" t="s">
        <v>141</v>
      </c>
      <c r="K460" s="89">
        <f>3830/1000</f>
        <v>3.83</v>
      </c>
      <c r="L460" s="31"/>
      <c r="M460" s="26">
        <f>3.7</f>
        <v>3.7</v>
      </c>
      <c r="N460" s="26"/>
      <c r="O460" s="26">
        <f>3.7</f>
        <v>3.7</v>
      </c>
      <c r="P460" s="26"/>
      <c r="Q460" s="26">
        <f>4.3</f>
        <v>4.3</v>
      </c>
      <c r="R460" s="26"/>
      <c r="S460" s="32">
        <f>5</f>
        <v>5</v>
      </c>
      <c r="T460" s="5"/>
    </row>
    <row r="461" spans="1:20" ht="25.75" customHeight="1">
      <c r="A461" s="39" t="s">
        <v>34</v>
      </c>
      <c r="B461" s="25" t="s">
        <v>384</v>
      </c>
      <c r="C461" s="73"/>
      <c r="D461" s="39" t="s">
        <v>409</v>
      </c>
      <c r="E461" s="24" t="s">
        <v>386</v>
      </c>
      <c r="F461" s="25" t="s">
        <v>258</v>
      </c>
      <c r="G461" s="25" t="s">
        <v>387</v>
      </c>
      <c r="H461" s="96"/>
      <c r="I461" s="52" t="s">
        <v>418</v>
      </c>
      <c r="J461" s="29" t="s">
        <v>98</v>
      </c>
      <c r="K461" s="75"/>
      <c r="L461" s="31"/>
      <c r="M461" s="63">
        <v>0.38</v>
      </c>
      <c r="N461" s="26"/>
      <c r="O461" s="63">
        <f>0.58</f>
        <v>0.57999999999999996</v>
      </c>
      <c r="P461" s="26"/>
      <c r="Q461" s="63">
        <f>0.71</f>
        <v>0.71</v>
      </c>
      <c r="R461" s="26"/>
      <c r="S461" s="104">
        <f>0.64</f>
        <v>0.64</v>
      </c>
      <c r="T461" s="5"/>
    </row>
    <row r="462" spans="1:20" ht="25.75" customHeight="1">
      <c r="A462" s="39" t="s">
        <v>34</v>
      </c>
      <c r="B462" s="25" t="s">
        <v>384</v>
      </c>
      <c r="C462" s="73"/>
      <c r="D462" s="39" t="s">
        <v>409</v>
      </c>
      <c r="E462" s="24" t="s">
        <v>386</v>
      </c>
      <c r="F462" s="25" t="s">
        <v>258</v>
      </c>
      <c r="G462" s="25" t="s">
        <v>387</v>
      </c>
      <c r="H462" s="96"/>
      <c r="I462" s="52" t="s">
        <v>419</v>
      </c>
      <c r="J462" s="29" t="s">
        <v>98</v>
      </c>
      <c r="K462" s="75"/>
      <c r="L462" s="31"/>
      <c r="M462" s="43">
        <f>0.06</f>
        <v>0.06</v>
      </c>
      <c r="N462" s="26"/>
      <c r="O462" s="63">
        <f>0.13</f>
        <v>0.13</v>
      </c>
      <c r="P462" s="26"/>
      <c r="Q462" s="63">
        <f>0.26</f>
        <v>0.26</v>
      </c>
      <c r="R462" s="26"/>
      <c r="S462" s="104">
        <f>0.36</f>
        <v>0.36</v>
      </c>
      <c r="T462" s="5"/>
    </row>
    <row r="463" spans="1:20" ht="25.25" customHeight="1">
      <c r="A463" s="39" t="s">
        <v>34</v>
      </c>
      <c r="B463" s="25" t="s">
        <v>384</v>
      </c>
      <c r="C463" s="73"/>
      <c r="D463" s="39" t="s">
        <v>409</v>
      </c>
      <c r="E463" s="24" t="s">
        <v>386</v>
      </c>
      <c r="F463" s="25" t="s">
        <v>258</v>
      </c>
      <c r="G463" s="25" t="s">
        <v>387</v>
      </c>
      <c r="H463" s="96"/>
      <c r="I463" s="33" t="s">
        <v>128</v>
      </c>
      <c r="J463" s="29" t="s">
        <v>141</v>
      </c>
      <c r="K463" s="75"/>
      <c r="L463" s="31"/>
      <c r="M463" s="26">
        <f>75</f>
        <v>75</v>
      </c>
      <c r="N463" s="26"/>
      <c r="O463" s="26">
        <f>81</f>
        <v>81</v>
      </c>
      <c r="P463" s="26"/>
      <c r="Q463" s="26">
        <f>83</f>
        <v>83</v>
      </c>
      <c r="R463" s="26"/>
      <c r="S463" s="32">
        <f>83</f>
        <v>83</v>
      </c>
      <c r="T463" s="5"/>
    </row>
    <row r="464" spans="1:20" ht="25.25" customHeight="1">
      <c r="A464" s="39" t="s">
        <v>34</v>
      </c>
      <c r="B464" s="25" t="s">
        <v>384</v>
      </c>
      <c r="C464" s="73"/>
      <c r="D464" s="39" t="s">
        <v>409</v>
      </c>
      <c r="E464" s="24" t="s">
        <v>386</v>
      </c>
      <c r="F464" s="25" t="s">
        <v>258</v>
      </c>
      <c r="G464" s="25" t="s">
        <v>387</v>
      </c>
      <c r="H464" s="96"/>
      <c r="I464" s="52" t="s">
        <v>381</v>
      </c>
      <c r="J464" s="29" t="s">
        <v>98</v>
      </c>
      <c r="K464" s="75"/>
      <c r="L464" s="31"/>
      <c r="M464" s="43">
        <f>0.7</f>
        <v>0.7</v>
      </c>
      <c r="N464" s="26"/>
      <c r="O464" s="43">
        <f>0.84</f>
        <v>0.84</v>
      </c>
      <c r="P464" s="26"/>
      <c r="Q464" s="43">
        <f>0.98</f>
        <v>0.98</v>
      </c>
      <c r="R464" s="26"/>
      <c r="S464" s="104">
        <f>1</f>
        <v>1</v>
      </c>
      <c r="T464" s="5"/>
    </row>
    <row r="465" spans="1:30" ht="27" customHeight="1">
      <c r="A465" s="39" t="s">
        <v>34</v>
      </c>
      <c r="B465" s="25" t="s">
        <v>384</v>
      </c>
      <c r="C465" s="73"/>
      <c r="D465" s="39" t="s">
        <v>409</v>
      </c>
      <c r="E465" s="24" t="s">
        <v>386</v>
      </c>
      <c r="F465" s="25" t="s">
        <v>258</v>
      </c>
      <c r="G465" s="25" t="s">
        <v>387</v>
      </c>
      <c r="H465" s="96"/>
      <c r="I465" s="50" t="s">
        <v>113</v>
      </c>
      <c r="J465" s="29" t="s">
        <v>141</v>
      </c>
      <c r="K465" s="75"/>
      <c r="L465" s="31"/>
      <c r="M465" s="26">
        <f>14</f>
        <v>14</v>
      </c>
      <c r="N465" s="26"/>
      <c r="O465" s="26">
        <f>18</f>
        <v>18</v>
      </c>
      <c r="P465" s="26"/>
      <c r="Q465" s="26">
        <f>22</f>
        <v>22</v>
      </c>
      <c r="R465" s="26"/>
      <c r="S465" s="32">
        <f>26</f>
        <v>26</v>
      </c>
      <c r="T465" s="5"/>
    </row>
    <row r="466" spans="1:30" ht="25.75" customHeight="1">
      <c r="A466" s="39" t="s">
        <v>34</v>
      </c>
      <c r="B466" s="25" t="s">
        <v>384</v>
      </c>
      <c r="C466" s="73"/>
      <c r="D466" s="39" t="s">
        <v>409</v>
      </c>
      <c r="E466" s="24" t="s">
        <v>386</v>
      </c>
      <c r="F466" s="25" t="s">
        <v>258</v>
      </c>
      <c r="G466" s="25" t="s">
        <v>387</v>
      </c>
      <c r="H466" s="96"/>
      <c r="I466" s="52" t="s">
        <v>397</v>
      </c>
      <c r="J466" s="29" t="s">
        <v>98</v>
      </c>
      <c r="K466" s="75"/>
      <c r="L466" s="31"/>
      <c r="M466" s="63">
        <f>0</f>
        <v>0</v>
      </c>
      <c r="N466" s="26"/>
      <c r="O466" s="63">
        <f>0</f>
        <v>0</v>
      </c>
      <c r="P466" s="26"/>
      <c r="Q466" s="63">
        <f>0.02</f>
        <v>0.02</v>
      </c>
      <c r="R466" s="26"/>
      <c r="S466" s="104">
        <f>0.04</f>
        <v>0.04</v>
      </c>
      <c r="T466" s="5"/>
    </row>
    <row r="467" spans="1:30" ht="29.4" customHeight="1">
      <c r="A467" s="107" t="s">
        <v>34</v>
      </c>
      <c r="B467" s="108" t="s">
        <v>384</v>
      </c>
      <c r="C467" s="109"/>
      <c r="D467" s="107" t="s">
        <v>409</v>
      </c>
      <c r="E467" s="110" t="s">
        <v>386</v>
      </c>
      <c r="F467" s="108" t="s">
        <v>258</v>
      </c>
      <c r="G467" s="108" t="s">
        <v>387</v>
      </c>
      <c r="H467" s="111"/>
      <c r="I467" s="112" t="s">
        <v>396</v>
      </c>
      <c r="J467" s="113" t="s">
        <v>98</v>
      </c>
      <c r="K467" s="114"/>
      <c r="L467" s="115"/>
      <c r="M467" s="116">
        <f>0</f>
        <v>0</v>
      </c>
      <c r="N467" s="117"/>
      <c r="O467" s="116">
        <f>0</f>
        <v>0</v>
      </c>
      <c r="P467" s="117"/>
      <c r="Q467" s="116">
        <f>0.22</f>
        <v>0.22</v>
      </c>
      <c r="R467" s="117"/>
      <c r="S467" s="118">
        <f>0.43</f>
        <v>0.43</v>
      </c>
      <c r="T467" s="5"/>
    </row>
    <row r="468" spans="1:30" ht="17.399999999999999" customHeight="1">
      <c r="A468" s="119" t="s">
        <v>36</v>
      </c>
      <c r="B468" s="120" t="s">
        <v>439</v>
      </c>
      <c r="C468" s="121"/>
      <c r="D468" s="122" t="s">
        <v>409</v>
      </c>
      <c r="E468" s="120" t="s">
        <v>440</v>
      </c>
      <c r="F468" s="122"/>
      <c r="G468" s="123"/>
      <c r="H468" s="124"/>
      <c r="I468" s="125" t="s">
        <v>441</v>
      </c>
      <c r="J468" s="18" t="s">
        <v>442</v>
      </c>
      <c r="K468" s="126"/>
      <c r="L468" s="127">
        <v>115.674971463307</v>
      </c>
      <c r="M468" s="128">
        <v>125.548019425774</v>
      </c>
      <c r="N468" s="129">
        <v>131.652159378145</v>
      </c>
      <c r="O468" s="130">
        <v>139.95439472056299</v>
      </c>
      <c r="P468" s="129">
        <v>149.99837949500699</v>
      </c>
      <c r="Q468" s="130">
        <v>160.94472555013601</v>
      </c>
      <c r="R468" s="22"/>
      <c r="S468" s="131"/>
      <c r="T468" s="5"/>
    </row>
    <row r="469" spans="1:30" ht="27" customHeight="1">
      <c r="A469" s="132" t="s">
        <v>36</v>
      </c>
      <c r="B469" s="24" t="s">
        <v>439</v>
      </c>
      <c r="C469" s="73"/>
      <c r="D469" s="25" t="s">
        <v>409</v>
      </c>
      <c r="E469" s="24" t="s">
        <v>443</v>
      </c>
      <c r="F469" s="59"/>
      <c r="G469" s="81"/>
      <c r="H469" s="124"/>
      <c r="I469" s="133" t="s">
        <v>441</v>
      </c>
      <c r="J469" s="29" t="s">
        <v>442</v>
      </c>
      <c r="K469" s="134"/>
      <c r="L469" s="55">
        <v>115.695569266212</v>
      </c>
      <c r="M469" s="78">
        <v>135.27591241700901</v>
      </c>
      <c r="N469" s="78">
        <v>150.084005341291</v>
      </c>
      <c r="O469" s="78">
        <v>168.87582167327199</v>
      </c>
      <c r="P469" s="78">
        <v>191.96345434761901</v>
      </c>
      <c r="Q469" s="78">
        <v>217.02325863494801</v>
      </c>
      <c r="R469" s="135"/>
      <c r="S469" s="32"/>
      <c r="T469" s="5"/>
    </row>
    <row r="470" spans="1:30" ht="24.65" customHeight="1">
      <c r="A470" s="132" t="s">
        <v>36</v>
      </c>
      <c r="B470" s="24" t="s">
        <v>439</v>
      </c>
      <c r="C470" s="73"/>
      <c r="D470" s="25" t="s">
        <v>409</v>
      </c>
      <c r="E470" s="24" t="s">
        <v>444</v>
      </c>
      <c r="F470" s="59"/>
      <c r="G470" s="81"/>
      <c r="H470" s="124"/>
      <c r="I470" s="133" t="s">
        <v>441</v>
      </c>
      <c r="J470" s="29" t="s">
        <v>442</v>
      </c>
      <c r="K470" s="134"/>
      <c r="L470" s="55">
        <v>115.72106635717699</v>
      </c>
      <c r="M470" s="34">
        <v>116.28997350672201</v>
      </c>
      <c r="N470" s="34">
        <v>114.94509291906201</v>
      </c>
      <c r="O470" s="34">
        <v>115.56081089524599</v>
      </c>
      <c r="P470" s="34">
        <v>116.811325468126</v>
      </c>
      <c r="Q470" s="34">
        <v>117.83006938372201</v>
      </c>
      <c r="R470" s="136"/>
      <c r="S470" s="32"/>
      <c r="T470" s="5"/>
    </row>
    <row r="471" spans="1:30" ht="39.65" customHeight="1">
      <c r="A471" s="132" t="s">
        <v>36</v>
      </c>
      <c r="B471" s="24" t="s">
        <v>439</v>
      </c>
      <c r="C471" s="73"/>
      <c r="D471" s="25" t="s">
        <v>409</v>
      </c>
      <c r="E471" s="24" t="s">
        <v>445</v>
      </c>
      <c r="F471" s="59"/>
      <c r="G471" s="81"/>
      <c r="H471" s="124"/>
      <c r="I471" s="133" t="s">
        <v>441</v>
      </c>
      <c r="J471" s="29" t="s">
        <v>442</v>
      </c>
      <c r="K471" s="134"/>
      <c r="L471" s="55">
        <v>115.707386662085</v>
      </c>
      <c r="M471" s="34">
        <v>125.577438459088</v>
      </c>
      <c r="N471" s="34">
        <v>131.639210689279</v>
      </c>
      <c r="O471" s="34">
        <v>139.914099102877</v>
      </c>
      <c r="P471" s="34">
        <v>150.36969518962101</v>
      </c>
      <c r="Q471" s="34">
        <v>161.35279015255401</v>
      </c>
      <c r="R471" s="26"/>
      <c r="S471" s="32"/>
      <c r="T471" s="5"/>
    </row>
    <row r="472" spans="1:30" ht="42" customHeight="1">
      <c r="A472" s="132" t="s">
        <v>36</v>
      </c>
      <c r="B472" s="24" t="s">
        <v>439</v>
      </c>
      <c r="C472" s="73"/>
      <c r="D472" s="25" t="s">
        <v>409</v>
      </c>
      <c r="E472" s="24" t="s">
        <v>446</v>
      </c>
      <c r="F472" s="59"/>
      <c r="G472" s="81"/>
      <c r="H472" s="124"/>
      <c r="I472" s="137" t="s">
        <v>441</v>
      </c>
      <c r="J472" s="69" t="s">
        <v>442</v>
      </c>
      <c r="K472" s="138"/>
      <c r="L472" s="139">
        <v>115.707444617344</v>
      </c>
      <c r="M472" s="140">
        <v>125.630312583841</v>
      </c>
      <c r="N472" s="140">
        <v>131.86704759056599</v>
      </c>
      <c r="O472" s="140">
        <v>140.144805548427</v>
      </c>
      <c r="P472" s="140">
        <v>150.48291144803301</v>
      </c>
      <c r="Q472" s="140">
        <v>161.51176002637399</v>
      </c>
      <c r="R472" s="117"/>
      <c r="S472" s="141"/>
      <c r="T472" s="5"/>
    </row>
    <row r="473" spans="1:30" ht="18.649999999999999" customHeight="1">
      <c r="A473" s="132" t="s">
        <v>36</v>
      </c>
      <c r="B473" s="24" t="s">
        <v>439</v>
      </c>
      <c r="C473" s="73"/>
      <c r="D473" s="25" t="s">
        <v>409</v>
      </c>
      <c r="E473" s="24" t="s">
        <v>440</v>
      </c>
      <c r="F473" s="25"/>
      <c r="G473" s="142"/>
      <c r="H473" s="124"/>
      <c r="I473" s="133" t="s">
        <v>447</v>
      </c>
      <c r="J473" s="29" t="s">
        <v>442</v>
      </c>
      <c r="K473" s="134"/>
      <c r="L473" s="143">
        <v>257.40675804788702</v>
      </c>
      <c r="M473" s="144">
        <v>260.067600189046</v>
      </c>
      <c r="N473" s="144">
        <v>270.82340758751599</v>
      </c>
      <c r="O473" s="78">
        <v>285.21436830480798</v>
      </c>
      <c r="P473" s="144">
        <v>302.38501960190001</v>
      </c>
      <c r="Q473" s="78">
        <v>321.045637684518</v>
      </c>
      <c r="R473" s="25"/>
      <c r="S473" s="81"/>
      <c r="T473" s="145"/>
      <c r="U473" s="146"/>
      <c r="V473" s="147"/>
      <c r="W473" s="148"/>
      <c r="X473" s="148"/>
      <c r="Y473" s="149"/>
      <c r="Z473" s="150"/>
      <c r="AA473" s="149"/>
      <c r="AB473" s="150"/>
      <c r="AC473" s="5"/>
      <c r="AD473" s="151"/>
    </row>
    <row r="474" spans="1:30" ht="25.25" customHeight="1">
      <c r="A474" s="132" t="s">
        <v>36</v>
      </c>
      <c r="B474" s="24" t="s">
        <v>439</v>
      </c>
      <c r="C474" s="73"/>
      <c r="D474" s="25" t="s">
        <v>409</v>
      </c>
      <c r="E474" s="24" t="s">
        <v>443</v>
      </c>
      <c r="F474" s="59"/>
      <c r="G474" s="81"/>
      <c r="H474" s="124"/>
      <c r="I474" s="133" t="s">
        <v>447</v>
      </c>
      <c r="J474" s="29" t="s">
        <v>442</v>
      </c>
      <c r="K474" s="134"/>
      <c r="L474" s="143">
        <v>257.47820380637597</v>
      </c>
      <c r="M474" s="144">
        <v>279.02351933711799</v>
      </c>
      <c r="N474" s="144">
        <v>305.52006561094203</v>
      </c>
      <c r="O474" s="78">
        <v>338.69203611783598</v>
      </c>
      <c r="P474" s="144">
        <v>378.65228037689099</v>
      </c>
      <c r="Q474" s="34">
        <v>421.847270192667</v>
      </c>
      <c r="R474" s="65"/>
      <c r="S474" s="81"/>
      <c r="T474" s="145"/>
      <c r="U474" s="146"/>
      <c r="V474" s="147"/>
      <c r="W474" s="152"/>
      <c r="X474" s="153"/>
      <c r="Y474" s="153"/>
      <c r="Z474" s="153"/>
      <c r="AA474" s="153"/>
      <c r="AB474" s="153"/>
      <c r="AC474" s="154"/>
      <c r="AD474" s="5"/>
    </row>
    <row r="475" spans="1:30" ht="24" customHeight="1">
      <c r="A475" s="132" t="s">
        <v>36</v>
      </c>
      <c r="B475" s="24" t="s">
        <v>439</v>
      </c>
      <c r="C475" s="73"/>
      <c r="D475" s="25" t="s">
        <v>409</v>
      </c>
      <c r="E475" s="24" t="s">
        <v>444</v>
      </c>
      <c r="F475" s="59"/>
      <c r="G475" s="81"/>
      <c r="H475" s="124"/>
      <c r="I475" s="133" t="s">
        <v>447</v>
      </c>
      <c r="J475" s="29" t="s">
        <v>442</v>
      </c>
      <c r="K475" s="134"/>
      <c r="L475" s="143">
        <v>257.40675804788702</v>
      </c>
      <c r="M475" s="144">
        <v>242.50519247648199</v>
      </c>
      <c r="N475" s="144">
        <v>239.683939133449</v>
      </c>
      <c r="O475" s="78">
        <v>240.21703354763599</v>
      </c>
      <c r="P475" s="144">
        <v>242.634600297866</v>
      </c>
      <c r="Q475" s="155">
        <v>245.90889567947201</v>
      </c>
      <c r="R475" s="65"/>
      <c r="S475" s="81"/>
      <c r="T475" s="145"/>
      <c r="U475" s="146"/>
      <c r="V475" s="147"/>
      <c r="W475" s="152"/>
      <c r="X475" s="152"/>
      <c r="Y475" s="152"/>
      <c r="Z475" s="152"/>
      <c r="AA475" s="152"/>
      <c r="AB475" s="152"/>
      <c r="AC475" s="156"/>
      <c r="AD475" s="5"/>
    </row>
    <row r="476" spans="1:30" ht="38.4" customHeight="1">
      <c r="A476" s="132" t="s">
        <v>36</v>
      </c>
      <c r="B476" s="24" t="s">
        <v>439</v>
      </c>
      <c r="C476" s="73"/>
      <c r="D476" s="25" t="s">
        <v>409</v>
      </c>
      <c r="E476" s="24" t="s">
        <v>445</v>
      </c>
      <c r="F476" s="59"/>
      <c r="G476" s="81"/>
      <c r="H476" s="124"/>
      <c r="I476" s="133" t="s">
        <v>447</v>
      </c>
      <c r="J476" s="29" t="s">
        <v>442</v>
      </c>
      <c r="K476" s="134"/>
      <c r="L476" s="143">
        <v>257.47820380637597</v>
      </c>
      <c r="M476" s="144">
        <v>260.42402603147502</v>
      </c>
      <c r="N476" s="144">
        <v>270.78230568095802</v>
      </c>
      <c r="O476" s="78">
        <v>284.91741916502002</v>
      </c>
      <c r="P476" s="144">
        <v>302.48408275288102</v>
      </c>
      <c r="Q476" s="34">
        <v>321.15694442027097</v>
      </c>
      <c r="R476" s="65"/>
      <c r="S476" s="81"/>
      <c r="T476" s="145"/>
      <c r="U476" s="146"/>
      <c r="V476" s="147"/>
      <c r="W476" s="152"/>
      <c r="X476" s="152"/>
      <c r="Y476" s="152"/>
      <c r="Z476" s="152"/>
      <c r="AA476" s="152"/>
      <c r="AB476" s="152"/>
      <c r="AC476" s="5"/>
      <c r="AD476" s="5"/>
    </row>
    <row r="477" spans="1:30" ht="39.65" customHeight="1">
      <c r="A477" s="132" t="s">
        <v>36</v>
      </c>
      <c r="B477" s="24" t="s">
        <v>439</v>
      </c>
      <c r="C477" s="73"/>
      <c r="D477" s="25" t="s">
        <v>409</v>
      </c>
      <c r="E477" s="24" t="s">
        <v>446</v>
      </c>
      <c r="F477" s="59"/>
      <c r="G477" s="81"/>
      <c r="H477" s="124"/>
      <c r="I477" s="133" t="s">
        <v>447</v>
      </c>
      <c r="J477" s="29" t="s">
        <v>442</v>
      </c>
      <c r="K477" s="134"/>
      <c r="L477" s="143">
        <v>257.40675804788702</v>
      </c>
      <c r="M477" s="144">
        <v>260.33694802788398</v>
      </c>
      <c r="N477" s="144">
        <v>271.02976015514599</v>
      </c>
      <c r="O477" s="78">
        <v>285.26757117668399</v>
      </c>
      <c r="P477" s="144">
        <v>302.72375341177002</v>
      </c>
      <c r="Q477" s="34">
        <v>321.206948516463</v>
      </c>
      <c r="R477" s="65"/>
      <c r="S477" s="81"/>
      <c r="T477" s="145"/>
      <c r="U477" s="146"/>
      <c r="V477" s="147"/>
      <c r="W477" s="152"/>
      <c r="X477" s="152"/>
      <c r="Y477" s="152"/>
      <c r="Z477" s="152"/>
      <c r="AA477" s="152"/>
      <c r="AB477" s="152"/>
      <c r="AC477" s="5"/>
      <c r="AD477" s="5"/>
    </row>
    <row r="478" spans="1:30" ht="18" customHeight="1">
      <c r="A478" s="132" t="s">
        <v>36</v>
      </c>
      <c r="B478" s="24" t="s">
        <v>439</v>
      </c>
      <c r="C478" s="73"/>
      <c r="D478" s="25" t="s">
        <v>409</v>
      </c>
      <c r="E478" s="24" t="s">
        <v>440</v>
      </c>
      <c r="F478" s="25"/>
      <c r="G478" s="142"/>
      <c r="H478" s="124"/>
      <c r="I478" s="133" t="s">
        <v>448</v>
      </c>
      <c r="J478" s="29" t="s">
        <v>442</v>
      </c>
      <c r="K478" s="134"/>
      <c r="L478" s="143">
        <v>90.458501758969405</v>
      </c>
      <c r="M478" s="144">
        <v>94.755935680719205</v>
      </c>
      <c r="N478" s="144">
        <v>97.805521372439401</v>
      </c>
      <c r="O478" s="78">
        <v>101.432604436245</v>
      </c>
      <c r="P478" s="144">
        <v>105.14253237864899</v>
      </c>
      <c r="Q478" s="78">
        <v>108.47128833987399</v>
      </c>
      <c r="R478" s="25"/>
      <c r="S478" s="81"/>
      <c r="T478" s="5"/>
    </row>
    <row r="479" spans="1:30" ht="25.25" customHeight="1">
      <c r="A479" s="132" t="s">
        <v>36</v>
      </c>
      <c r="B479" s="24" t="s">
        <v>439</v>
      </c>
      <c r="C479" s="73"/>
      <c r="D479" s="25" t="s">
        <v>409</v>
      </c>
      <c r="E479" s="24" t="s">
        <v>443</v>
      </c>
      <c r="F479" s="59"/>
      <c r="G479" s="81"/>
      <c r="H479" s="124"/>
      <c r="I479" s="133" t="s">
        <v>448</v>
      </c>
      <c r="J479" s="29" t="s">
        <v>442</v>
      </c>
      <c r="K479" s="134"/>
      <c r="L479" s="143">
        <v>90.458501758969405</v>
      </c>
      <c r="M479" s="144">
        <v>97.494150099963207</v>
      </c>
      <c r="N479" s="144">
        <v>102.931079858785</v>
      </c>
      <c r="O479" s="78">
        <v>109.69081496928401</v>
      </c>
      <c r="P479" s="144">
        <v>117.061750453374</v>
      </c>
      <c r="Q479" s="34">
        <v>124.02226537795801</v>
      </c>
      <c r="R479" s="65"/>
      <c r="S479" s="81"/>
      <c r="T479" s="5"/>
    </row>
    <row r="480" spans="1:30" ht="24.65" customHeight="1">
      <c r="A480" s="132" t="s">
        <v>36</v>
      </c>
      <c r="B480" s="24" t="s">
        <v>439</v>
      </c>
      <c r="C480" s="73"/>
      <c r="D480" s="25" t="s">
        <v>409</v>
      </c>
      <c r="E480" s="24" t="s">
        <v>444</v>
      </c>
      <c r="F480" s="59"/>
      <c r="G480" s="81"/>
      <c r="H480" s="124"/>
      <c r="I480" s="133" t="s">
        <v>448</v>
      </c>
      <c r="J480" s="29" t="s">
        <v>442</v>
      </c>
      <c r="K480" s="134"/>
      <c r="L480" s="143">
        <v>90.458501758969405</v>
      </c>
      <c r="M480" s="144">
        <v>92.185177636048294</v>
      </c>
      <c r="N480" s="144">
        <v>93.3569423107093</v>
      </c>
      <c r="O480" s="78">
        <v>95.445712723788901</v>
      </c>
      <c r="P480" s="144">
        <v>98.342196088572607</v>
      </c>
      <c r="Q480" s="78">
        <v>101.72178895502201</v>
      </c>
      <c r="R480" s="65"/>
      <c r="S480" s="81"/>
      <c r="T480" s="5"/>
    </row>
    <row r="481" spans="1:20" ht="39.65" customHeight="1">
      <c r="A481" s="132" t="s">
        <v>36</v>
      </c>
      <c r="B481" s="24" t="s">
        <v>439</v>
      </c>
      <c r="C481" s="73"/>
      <c r="D481" s="25" t="s">
        <v>409</v>
      </c>
      <c r="E481" s="24" t="s">
        <v>445</v>
      </c>
      <c r="F481" s="59"/>
      <c r="G481" s="81"/>
      <c r="H481" s="124"/>
      <c r="I481" s="133" t="s">
        <v>448</v>
      </c>
      <c r="J481" s="29" t="s">
        <v>442</v>
      </c>
      <c r="K481" s="134"/>
      <c r="L481" s="143">
        <v>90.458501758969405</v>
      </c>
      <c r="M481" s="144">
        <v>94.724522054561504</v>
      </c>
      <c r="N481" s="144">
        <v>97.794582060918302</v>
      </c>
      <c r="O481" s="78">
        <v>101.454199370236</v>
      </c>
      <c r="P481" s="144">
        <v>105.24079628734199</v>
      </c>
      <c r="Q481" s="34">
        <v>108.760776902198</v>
      </c>
      <c r="R481" s="65"/>
      <c r="S481" s="81"/>
      <c r="T481" s="5"/>
    </row>
    <row r="482" spans="1:20" ht="37.75" customHeight="1">
      <c r="A482" s="132" t="s">
        <v>36</v>
      </c>
      <c r="B482" s="24" t="s">
        <v>439</v>
      </c>
      <c r="C482" s="73"/>
      <c r="D482" s="25" t="s">
        <v>409</v>
      </c>
      <c r="E482" s="24" t="s">
        <v>446</v>
      </c>
      <c r="F482" s="59"/>
      <c r="G482" s="81"/>
      <c r="H482" s="124"/>
      <c r="I482" s="133" t="s">
        <v>448</v>
      </c>
      <c r="J482" s="29" t="s">
        <v>442</v>
      </c>
      <c r="K482" s="134"/>
      <c r="L482" s="143">
        <v>90.458501758969405</v>
      </c>
      <c r="M482" s="144">
        <v>94.740531130013196</v>
      </c>
      <c r="N482" s="144">
        <v>97.772358401566805</v>
      </c>
      <c r="O482" s="78">
        <v>101.304825237416</v>
      </c>
      <c r="P482" s="144">
        <v>104.929820440219</v>
      </c>
      <c r="Q482" s="34">
        <v>107.849351816522</v>
      </c>
      <c r="R482" s="65"/>
      <c r="S482" s="81"/>
      <c r="T482" s="5"/>
    </row>
    <row r="483" spans="1:20" ht="13.75" customHeight="1">
      <c r="A483" s="132" t="s">
        <v>36</v>
      </c>
      <c r="B483" s="24" t="s">
        <v>439</v>
      </c>
      <c r="C483" s="73"/>
      <c r="D483" s="25" t="s">
        <v>409</v>
      </c>
      <c r="E483" s="24" t="s">
        <v>440</v>
      </c>
      <c r="F483" s="25"/>
      <c r="G483" s="142"/>
      <c r="H483" s="124"/>
      <c r="I483" s="133" t="s">
        <v>449</v>
      </c>
      <c r="J483" s="29" t="s">
        <v>442</v>
      </c>
      <c r="K483" s="134"/>
      <c r="L483" s="143">
        <v>69.826175666262301</v>
      </c>
      <c r="M483" s="144">
        <v>73.135217035182905</v>
      </c>
      <c r="N483" s="144">
        <v>76.958445724122797</v>
      </c>
      <c r="O483" s="78">
        <v>81.073702430074107</v>
      </c>
      <c r="P483" s="144">
        <v>85.211858985041601</v>
      </c>
      <c r="Q483" s="78">
        <v>88.594294150290594</v>
      </c>
      <c r="R483" s="25"/>
      <c r="S483" s="81"/>
      <c r="T483" s="5"/>
    </row>
    <row r="484" spans="1:20" ht="24.65" customHeight="1">
      <c r="A484" s="132" t="s">
        <v>36</v>
      </c>
      <c r="B484" s="24" t="s">
        <v>439</v>
      </c>
      <c r="C484" s="73"/>
      <c r="D484" s="25" t="s">
        <v>409</v>
      </c>
      <c r="E484" s="24" t="s">
        <v>443</v>
      </c>
      <c r="F484" s="59"/>
      <c r="G484" s="81"/>
      <c r="H484" s="124"/>
      <c r="I484" s="133" t="s">
        <v>449</v>
      </c>
      <c r="J484" s="29" t="s">
        <v>442</v>
      </c>
      <c r="K484" s="134"/>
      <c r="L484" s="157">
        <v>69.878660713690607</v>
      </c>
      <c r="M484" s="144">
        <v>77.551846303060998</v>
      </c>
      <c r="N484" s="144">
        <v>85.080657354882106</v>
      </c>
      <c r="O484" s="78">
        <v>93.709672093310004</v>
      </c>
      <c r="P484" s="144">
        <v>103.255014840084</v>
      </c>
      <c r="Q484" s="34">
        <v>112.123708804394</v>
      </c>
      <c r="R484" s="65"/>
      <c r="S484" s="81"/>
      <c r="T484" s="5"/>
    </row>
    <row r="485" spans="1:20" ht="28.25" customHeight="1">
      <c r="A485" s="132" t="s">
        <v>36</v>
      </c>
      <c r="B485" s="24" t="s">
        <v>439</v>
      </c>
      <c r="C485" s="73"/>
      <c r="D485" s="25" t="s">
        <v>409</v>
      </c>
      <c r="E485" s="24" t="s">
        <v>444</v>
      </c>
      <c r="F485" s="59"/>
      <c r="G485" s="81"/>
      <c r="H485" s="124"/>
      <c r="I485" s="133" t="s">
        <v>449</v>
      </c>
      <c r="J485" s="29" t="s">
        <v>442</v>
      </c>
      <c r="K485" s="134"/>
      <c r="L485" s="143">
        <v>69.876928940079694</v>
      </c>
      <c r="M485" s="144">
        <v>69.199669201951806</v>
      </c>
      <c r="N485" s="144">
        <v>69.802317627786394</v>
      </c>
      <c r="O485" s="78">
        <v>70.970003345476499</v>
      </c>
      <c r="P485" s="144">
        <v>72.432697137305396</v>
      </c>
      <c r="Q485" s="78">
        <v>73.222267228995605</v>
      </c>
      <c r="R485" s="65"/>
      <c r="S485" s="81"/>
      <c r="T485" s="5"/>
    </row>
    <row r="486" spans="1:20" ht="39.65" customHeight="1">
      <c r="A486" s="132" t="s">
        <v>36</v>
      </c>
      <c r="B486" s="24" t="s">
        <v>439</v>
      </c>
      <c r="C486" s="73"/>
      <c r="D486" s="25" t="s">
        <v>409</v>
      </c>
      <c r="E486" s="24" t="s">
        <v>445</v>
      </c>
      <c r="F486" s="59"/>
      <c r="G486" s="81"/>
      <c r="H486" s="124"/>
      <c r="I486" s="133" t="s">
        <v>449</v>
      </c>
      <c r="J486" s="29" t="s">
        <v>442</v>
      </c>
      <c r="K486" s="134"/>
      <c r="L486" s="143">
        <v>69.876524566546294</v>
      </c>
      <c r="M486" s="144">
        <v>73.332999646704394</v>
      </c>
      <c r="N486" s="144">
        <v>77.020095106522007</v>
      </c>
      <c r="O486" s="78">
        <v>81.094422178301002</v>
      </c>
      <c r="P486" s="144">
        <v>85.449094388265195</v>
      </c>
      <c r="Q486" s="34">
        <v>88.902901482175196</v>
      </c>
      <c r="R486" s="65"/>
      <c r="S486" s="81"/>
      <c r="T486" s="5"/>
    </row>
    <row r="487" spans="1:20" ht="40.25" customHeight="1">
      <c r="A487" s="132" t="s">
        <v>36</v>
      </c>
      <c r="B487" s="24" t="s">
        <v>439</v>
      </c>
      <c r="C487" s="73"/>
      <c r="D487" s="25" t="s">
        <v>409</v>
      </c>
      <c r="E487" s="24" t="s">
        <v>446</v>
      </c>
      <c r="F487" s="59"/>
      <c r="G487" s="81"/>
      <c r="H487" s="124"/>
      <c r="I487" s="133" t="s">
        <v>449</v>
      </c>
      <c r="J487" s="29" t="s">
        <v>442</v>
      </c>
      <c r="K487" s="134"/>
      <c r="L487" s="143">
        <v>69.876559729462201</v>
      </c>
      <c r="M487" s="144">
        <v>73.280044295275204</v>
      </c>
      <c r="N487" s="144">
        <v>77.096389843416702</v>
      </c>
      <c r="O487" s="78">
        <v>81.103467838430603</v>
      </c>
      <c r="P487" s="144">
        <v>85.361318959311006</v>
      </c>
      <c r="Q487" s="34">
        <v>88.4694745893771</v>
      </c>
      <c r="R487" s="65"/>
      <c r="S487" s="81"/>
      <c r="T487" s="5"/>
    </row>
    <row r="488" spans="1:20" ht="17.399999999999999" customHeight="1">
      <c r="A488" s="132" t="s">
        <v>36</v>
      </c>
      <c r="B488" s="24" t="s">
        <v>439</v>
      </c>
      <c r="C488" s="73"/>
      <c r="D488" s="25" t="s">
        <v>409</v>
      </c>
      <c r="E488" s="24" t="s">
        <v>440</v>
      </c>
      <c r="F488" s="25"/>
      <c r="G488" s="142"/>
      <c r="H488" s="124"/>
      <c r="I488" s="133" t="s">
        <v>450</v>
      </c>
      <c r="J488" s="29" t="s">
        <v>442</v>
      </c>
      <c r="K488" s="134"/>
      <c r="L488" s="55">
        <v>8.8388769594941099</v>
      </c>
      <c r="M488" s="34">
        <v>9.5861548104194494</v>
      </c>
      <c r="N488" s="34">
        <v>9.9471298719263999</v>
      </c>
      <c r="O488" s="34">
        <v>10.5018497272609</v>
      </c>
      <c r="P488" s="34">
        <v>11.243273229898399</v>
      </c>
      <c r="Q488" s="34">
        <v>12.0800463535255</v>
      </c>
      <c r="R488" s="26"/>
      <c r="S488" s="32"/>
      <c r="T488" s="5"/>
    </row>
    <row r="489" spans="1:20" ht="25.75" customHeight="1">
      <c r="A489" s="132" t="s">
        <v>36</v>
      </c>
      <c r="B489" s="24" t="s">
        <v>439</v>
      </c>
      <c r="C489" s="73"/>
      <c r="D489" s="25" t="s">
        <v>409</v>
      </c>
      <c r="E489" s="24" t="s">
        <v>443</v>
      </c>
      <c r="F489" s="59"/>
      <c r="G489" s="81"/>
      <c r="H489" s="124"/>
      <c r="I489" s="133" t="s">
        <v>450</v>
      </c>
      <c r="J489" s="29" t="s">
        <v>442</v>
      </c>
      <c r="K489" s="134"/>
      <c r="L489" s="55">
        <v>8.8388769594941099</v>
      </c>
      <c r="M489" s="34">
        <v>10.213295723757801</v>
      </c>
      <c r="N489" s="34">
        <v>11.146123027480201</v>
      </c>
      <c r="O489" s="34">
        <v>12.4015555285314</v>
      </c>
      <c r="P489" s="34">
        <v>14.0299683898143</v>
      </c>
      <c r="Q489" s="34">
        <v>15.906895160010899</v>
      </c>
      <c r="R489" s="26"/>
      <c r="S489" s="32"/>
      <c r="T489" s="5"/>
    </row>
    <row r="490" spans="1:20" ht="27.65" customHeight="1">
      <c r="A490" s="132" t="s">
        <v>36</v>
      </c>
      <c r="B490" s="24" t="s">
        <v>439</v>
      </c>
      <c r="C490" s="73"/>
      <c r="D490" s="25" t="s">
        <v>409</v>
      </c>
      <c r="E490" s="24" t="s">
        <v>444</v>
      </c>
      <c r="F490" s="59"/>
      <c r="G490" s="81"/>
      <c r="H490" s="124"/>
      <c r="I490" s="133" t="s">
        <v>450</v>
      </c>
      <c r="J490" s="29" t="s">
        <v>442</v>
      </c>
      <c r="K490" s="134"/>
      <c r="L490" s="55">
        <v>8.8388769594941099</v>
      </c>
      <c r="M490" s="34">
        <v>8.9903177903032407</v>
      </c>
      <c r="N490" s="34">
        <v>8.8878989700955007</v>
      </c>
      <c r="O490" s="34">
        <v>8.9140119866069707</v>
      </c>
      <c r="P490" s="34">
        <v>9.0324768401779298</v>
      </c>
      <c r="Q490" s="34">
        <v>9.1791772826243907</v>
      </c>
      <c r="R490" s="26"/>
      <c r="S490" s="32"/>
      <c r="T490" s="5"/>
    </row>
    <row r="491" spans="1:20" ht="39" customHeight="1">
      <c r="A491" s="132" t="s">
        <v>36</v>
      </c>
      <c r="B491" s="24" t="s">
        <v>439</v>
      </c>
      <c r="C491" s="73"/>
      <c r="D491" s="25" t="s">
        <v>409</v>
      </c>
      <c r="E491" s="24" t="s">
        <v>445</v>
      </c>
      <c r="F491" s="59"/>
      <c r="G491" s="81"/>
      <c r="H491" s="124"/>
      <c r="I491" s="133" t="s">
        <v>450</v>
      </c>
      <c r="J491" s="29" t="s">
        <v>442</v>
      </c>
      <c r="K491" s="134"/>
      <c r="L491" s="55">
        <v>8.8388769594941099</v>
      </c>
      <c r="M491" s="34">
        <v>9.5786331986181299</v>
      </c>
      <c r="N491" s="34">
        <v>9.9404964260885293</v>
      </c>
      <c r="O491" s="34">
        <v>10.494967838671601</v>
      </c>
      <c r="P491" s="34">
        <v>11.2418850872183</v>
      </c>
      <c r="Q491" s="34">
        <v>12.079590170532899</v>
      </c>
      <c r="R491" s="26"/>
      <c r="S491" s="32"/>
      <c r="T491" s="5"/>
    </row>
    <row r="492" spans="1:20" ht="43.25" customHeight="1">
      <c r="A492" s="132" t="s">
        <v>36</v>
      </c>
      <c r="B492" s="24" t="s">
        <v>439</v>
      </c>
      <c r="C492" s="73"/>
      <c r="D492" s="25" t="s">
        <v>409</v>
      </c>
      <c r="E492" s="24" t="s">
        <v>446</v>
      </c>
      <c r="F492" s="59"/>
      <c r="G492" s="81"/>
      <c r="H492" s="124"/>
      <c r="I492" s="133" t="s">
        <v>450</v>
      </c>
      <c r="J492" s="29" t="s">
        <v>442</v>
      </c>
      <c r="K492" s="134"/>
      <c r="L492" s="55">
        <v>8.8388769594941099</v>
      </c>
      <c r="M492" s="158">
        <v>9.5859173404415099</v>
      </c>
      <c r="N492" s="158">
        <v>9.9502559166677909</v>
      </c>
      <c r="O492" s="158">
        <v>10.5061421332147</v>
      </c>
      <c r="P492" s="158">
        <v>11.252936291238401</v>
      </c>
      <c r="Q492" s="158">
        <v>12.097283362123401</v>
      </c>
      <c r="R492" s="26"/>
      <c r="S492" s="32"/>
      <c r="T492" s="5"/>
    </row>
    <row r="493" spans="1:20" ht="13" customHeight="1">
      <c r="A493" s="132" t="s">
        <v>36</v>
      </c>
      <c r="B493" s="24" t="s">
        <v>439</v>
      </c>
      <c r="C493" s="73"/>
      <c r="D493" s="25" t="s">
        <v>409</v>
      </c>
      <c r="E493" s="24" t="s">
        <v>440</v>
      </c>
      <c r="F493" s="25"/>
      <c r="G493" s="142"/>
      <c r="H493" s="124"/>
      <c r="I493" s="133" t="s">
        <v>451</v>
      </c>
      <c r="J493" s="29" t="s">
        <v>442</v>
      </c>
      <c r="K493" s="134"/>
      <c r="L493" s="55">
        <v>542.20528389591902</v>
      </c>
      <c r="M493" s="34">
        <v>563.09292714114099</v>
      </c>
      <c r="N493" s="34">
        <v>587.18666393415003</v>
      </c>
      <c r="O493" s="34">
        <v>618.17691961895196</v>
      </c>
      <c r="P493" s="34">
        <v>653.98106369049594</v>
      </c>
      <c r="Q493" s="34">
        <v>691.13599207834397</v>
      </c>
      <c r="R493" s="26"/>
      <c r="S493" s="32"/>
      <c r="T493" s="5"/>
    </row>
    <row r="494" spans="1:20" ht="27" customHeight="1">
      <c r="A494" s="132" t="s">
        <v>36</v>
      </c>
      <c r="B494" s="24" t="s">
        <v>439</v>
      </c>
      <c r="C494" s="73"/>
      <c r="D494" s="25" t="s">
        <v>409</v>
      </c>
      <c r="E494" s="24" t="s">
        <v>443</v>
      </c>
      <c r="F494" s="59"/>
      <c r="G494" s="81"/>
      <c r="H494" s="124"/>
      <c r="I494" s="133" t="s">
        <v>451</v>
      </c>
      <c r="J494" s="29" t="s">
        <v>442</v>
      </c>
      <c r="K494" s="134"/>
      <c r="L494" s="55">
        <v>542.20528389591902</v>
      </c>
      <c r="M494" s="34">
        <v>599.55872388090904</v>
      </c>
      <c r="N494" s="34">
        <v>654.76193119338097</v>
      </c>
      <c r="O494" s="34">
        <v>723.36990038223303</v>
      </c>
      <c r="P494" s="34">
        <v>804.96246840778099</v>
      </c>
      <c r="Q494" s="34">
        <v>890.92339816997799</v>
      </c>
      <c r="R494" s="26"/>
      <c r="S494" s="32"/>
      <c r="T494" s="5"/>
    </row>
    <row r="495" spans="1:20" ht="26.4" customHeight="1">
      <c r="A495" s="132" t="s">
        <v>36</v>
      </c>
      <c r="B495" s="24" t="s">
        <v>439</v>
      </c>
      <c r="C495" s="73"/>
      <c r="D495" s="25" t="s">
        <v>409</v>
      </c>
      <c r="E495" s="24" t="s">
        <v>444</v>
      </c>
      <c r="F495" s="59"/>
      <c r="G495" s="81"/>
      <c r="H495" s="124"/>
      <c r="I495" s="133" t="s">
        <v>451</v>
      </c>
      <c r="J495" s="29" t="s">
        <v>442</v>
      </c>
      <c r="K495" s="134"/>
      <c r="L495" s="55">
        <v>542.350122287153</v>
      </c>
      <c r="M495" s="34">
        <v>529.17033061150801</v>
      </c>
      <c r="N495" s="34">
        <v>526.67619096110298</v>
      </c>
      <c r="O495" s="34">
        <v>531.10757249875496</v>
      </c>
      <c r="P495" s="34">
        <v>539.253295832047</v>
      </c>
      <c r="Q495" s="34">
        <v>547.86219852983595</v>
      </c>
      <c r="R495" s="26"/>
      <c r="S495" s="32"/>
      <c r="T495" s="5"/>
    </row>
    <row r="496" spans="1:20" ht="41.4" customHeight="1">
      <c r="A496" s="132" t="s">
        <v>36</v>
      </c>
      <c r="B496" s="24" t="s">
        <v>439</v>
      </c>
      <c r="C496" s="73"/>
      <c r="D496" s="25" t="s">
        <v>409</v>
      </c>
      <c r="E496" s="24" t="s">
        <v>445</v>
      </c>
      <c r="F496" s="59"/>
      <c r="G496" s="81"/>
      <c r="H496" s="124"/>
      <c r="I496" s="133" t="s">
        <v>451</v>
      </c>
      <c r="J496" s="29" t="s">
        <v>442</v>
      </c>
      <c r="K496" s="134"/>
      <c r="L496" s="159">
        <v>542.44359550836498</v>
      </c>
      <c r="M496" s="34">
        <v>563.63761939044696</v>
      </c>
      <c r="N496" s="34">
        <v>587.17668996376597</v>
      </c>
      <c r="O496" s="34">
        <v>617.87510765510604</v>
      </c>
      <c r="P496" s="34">
        <v>654.78555370532695</v>
      </c>
      <c r="Q496" s="34">
        <v>692.25300312773095</v>
      </c>
      <c r="R496" s="26"/>
      <c r="S496" s="32"/>
      <c r="T496" s="5"/>
    </row>
    <row r="497" spans="1:20" ht="41.4" customHeight="1">
      <c r="A497" s="160" t="s">
        <v>36</v>
      </c>
      <c r="B497" s="161" t="s">
        <v>439</v>
      </c>
      <c r="C497" s="162"/>
      <c r="D497" s="163" t="s">
        <v>409</v>
      </c>
      <c r="E497" s="161" t="s">
        <v>446</v>
      </c>
      <c r="F497" s="164"/>
      <c r="G497" s="165"/>
      <c r="H497" s="166"/>
      <c r="I497" s="167" t="s">
        <v>451</v>
      </c>
      <c r="J497" s="113" t="s">
        <v>442</v>
      </c>
      <c r="K497" s="168"/>
      <c r="L497" s="169">
        <v>542.20528389591902</v>
      </c>
      <c r="M497" s="170">
        <v>563.57375337745498</v>
      </c>
      <c r="N497" s="170">
        <v>587.71581190736299</v>
      </c>
      <c r="O497" s="170">
        <v>618.32681193417204</v>
      </c>
      <c r="P497" s="170">
        <v>654.75074055057098</v>
      </c>
      <c r="Q497" s="170">
        <v>691.13481831086096</v>
      </c>
      <c r="R497" s="171"/>
      <c r="S497" s="172"/>
      <c r="T497" s="5"/>
    </row>
    <row r="498" spans="1:20" ht="24.65" customHeight="1">
      <c r="A498" s="119" t="s">
        <v>37</v>
      </c>
      <c r="B498" s="120" t="s">
        <v>452</v>
      </c>
      <c r="C498" s="22"/>
      <c r="D498" s="122" t="s">
        <v>311</v>
      </c>
      <c r="E498" s="122" t="s">
        <v>453</v>
      </c>
      <c r="F498" s="22"/>
      <c r="G498" s="173"/>
      <c r="H498" s="174"/>
      <c r="I498" s="175" t="s">
        <v>454</v>
      </c>
      <c r="J498" s="24" t="s">
        <v>267</v>
      </c>
      <c r="K498" s="126"/>
      <c r="L498" s="176">
        <f>169.1</f>
        <v>169.1</v>
      </c>
      <c r="M498" s="22">
        <f>165.8</f>
        <v>165.8</v>
      </c>
      <c r="N498" s="22">
        <f>171.8</f>
        <v>171.8</v>
      </c>
      <c r="O498" s="22">
        <v>180</v>
      </c>
      <c r="P498" s="22"/>
      <c r="Q498" s="22"/>
      <c r="R498" s="22"/>
      <c r="S498" s="23"/>
      <c r="T498" s="5"/>
    </row>
    <row r="499" spans="1:20" ht="26.4" customHeight="1">
      <c r="A499" s="132" t="s">
        <v>37</v>
      </c>
      <c r="B499" s="24" t="s">
        <v>452</v>
      </c>
      <c r="C499" s="26"/>
      <c r="D499" s="25" t="s">
        <v>311</v>
      </c>
      <c r="E499" s="25" t="s">
        <v>455</v>
      </c>
      <c r="F499" s="26"/>
      <c r="G499" s="81"/>
      <c r="H499" s="174"/>
      <c r="I499" s="177" t="s">
        <v>454</v>
      </c>
      <c r="J499" s="24" t="s">
        <v>267</v>
      </c>
      <c r="K499" s="134"/>
      <c r="L499" s="31">
        <f>170.3</f>
        <v>170.3</v>
      </c>
      <c r="M499" s="26">
        <f>172.5</f>
        <v>172.5</v>
      </c>
      <c r="N499" s="26">
        <f>168.9</f>
        <v>168.9</v>
      </c>
      <c r="O499" s="26">
        <f>166.4</f>
        <v>166.4</v>
      </c>
      <c r="P499" s="26"/>
      <c r="Q499" s="26"/>
      <c r="R499" s="26"/>
      <c r="S499" s="32"/>
      <c r="T499" s="5"/>
    </row>
    <row r="500" spans="1:20" ht="26.4" customHeight="1">
      <c r="A500" s="132" t="s">
        <v>37</v>
      </c>
      <c r="B500" s="24" t="s">
        <v>452</v>
      </c>
      <c r="C500" s="26"/>
      <c r="D500" s="25" t="s">
        <v>311</v>
      </c>
      <c r="E500" s="25" t="s">
        <v>456</v>
      </c>
      <c r="F500" s="26"/>
      <c r="G500" s="81"/>
      <c r="H500" s="174"/>
      <c r="I500" s="177" t="s">
        <v>454</v>
      </c>
      <c r="J500" s="24" t="s">
        <v>267</v>
      </c>
      <c r="K500" s="134"/>
      <c r="L500" s="31">
        <f>171.1</f>
        <v>171.1</v>
      </c>
      <c r="M500" s="26">
        <f>177.6</f>
        <v>177.6</v>
      </c>
      <c r="N500" s="26">
        <f>176.3</f>
        <v>176.3</v>
      </c>
      <c r="O500" s="26">
        <f>180.8</f>
        <v>180.8</v>
      </c>
      <c r="P500" s="26"/>
      <c r="Q500" s="26"/>
      <c r="R500" s="26"/>
      <c r="S500" s="32"/>
      <c r="T500" s="5"/>
    </row>
    <row r="501" spans="1:20" ht="25.25" customHeight="1">
      <c r="A501" s="132" t="s">
        <v>37</v>
      </c>
      <c r="B501" s="24" t="s">
        <v>452</v>
      </c>
      <c r="C501" s="26"/>
      <c r="D501" s="25" t="s">
        <v>311</v>
      </c>
      <c r="E501" s="25" t="s">
        <v>457</v>
      </c>
      <c r="F501" s="26"/>
      <c r="G501" s="81"/>
      <c r="H501" s="174"/>
      <c r="I501" s="177" t="s">
        <v>454</v>
      </c>
      <c r="J501" s="24" t="s">
        <v>267</v>
      </c>
      <c r="K501" s="134"/>
      <c r="L501" s="31">
        <f>169.1</f>
        <v>169.1</v>
      </c>
      <c r="M501" s="26">
        <f>165.8</f>
        <v>165.8</v>
      </c>
      <c r="N501" s="26">
        <f>171.8</f>
        <v>171.8</v>
      </c>
      <c r="O501" s="26">
        <f>180</f>
        <v>180</v>
      </c>
      <c r="P501" s="26"/>
      <c r="Q501" s="26"/>
      <c r="R501" s="26"/>
      <c r="S501" s="32"/>
      <c r="T501" s="5"/>
    </row>
    <row r="502" spans="1:20" ht="27" customHeight="1">
      <c r="A502" s="132" t="s">
        <v>37</v>
      </c>
      <c r="B502" s="24" t="s">
        <v>452</v>
      </c>
      <c r="C502" s="26"/>
      <c r="D502" s="25" t="s">
        <v>311</v>
      </c>
      <c r="E502" s="25" t="s">
        <v>458</v>
      </c>
      <c r="F502" s="26"/>
      <c r="G502" s="81"/>
      <c r="H502" s="174"/>
      <c r="I502" s="177" t="s">
        <v>454</v>
      </c>
      <c r="J502" s="24" t="s">
        <v>267</v>
      </c>
      <c r="K502" s="134"/>
      <c r="L502" s="31">
        <f>169.1</f>
        <v>169.1</v>
      </c>
      <c r="M502" s="26">
        <f>58.6</f>
        <v>58.6</v>
      </c>
      <c r="N502" s="26">
        <f>57.4</f>
        <v>57.4</v>
      </c>
      <c r="O502" s="26">
        <f>50.3</f>
        <v>50.3</v>
      </c>
      <c r="P502" s="26"/>
      <c r="Q502" s="26"/>
      <c r="R502" s="26"/>
      <c r="S502" s="32"/>
      <c r="T502" s="5"/>
    </row>
    <row r="503" spans="1:20" ht="23.4" customHeight="1">
      <c r="A503" s="132" t="s">
        <v>37</v>
      </c>
      <c r="B503" s="24" t="s">
        <v>452</v>
      </c>
      <c r="C503" s="26"/>
      <c r="D503" s="25" t="s">
        <v>311</v>
      </c>
      <c r="E503" s="25" t="s">
        <v>459</v>
      </c>
      <c r="F503" s="26"/>
      <c r="G503" s="81"/>
      <c r="H503" s="174"/>
      <c r="I503" s="177" t="s">
        <v>454</v>
      </c>
      <c r="J503" s="24" t="s">
        <v>267</v>
      </c>
      <c r="K503" s="134"/>
      <c r="L503" s="31">
        <f>95.6</f>
        <v>95.6</v>
      </c>
      <c r="M503" s="26">
        <f>20.3</f>
        <v>20.3</v>
      </c>
      <c r="N503" s="26">
        <f>17.5</f>
        <v>17.5</v>
      </c>
      <c r="O503" s="26">
        <f>18.4</f>
        <v>18.399999999999999</v>
      </c>
      <c r="P503" s="26"/>
      <c r="Q503" s="26"/>
      <c r="R503" s="26"/>
      <c r="S503" s="32"/>
      <c r="T503" s="5"/>
    </row>
    <row r="504" spans="1:20" ht="28.75" customHeight="1">
      <c r="A504" s="132" t="s">
        <v>37</v>
      </c>
      <c r="B504" s="24" t="s">
        <v>452</v>
      </c>
      <c r="C504" s="26"/>
      <c r="D504" s="25" t="s">
        <v>311</v>
      </c>
      <c r="E504" s="25" t="s">
        <v>453</v>
      </c>
      <c r="F504" s="26"/>
      <c r="G504" s="81"/>
      <c r="H504" s="174"/>
      <c r="I504" s="177" t="s">
        <v>460</v>
      </c>
      <c r="J504" s="24" t="s">
        <v>267</v>
      </c>
      <c r="K504" s="134"/>
      <c r="L504" s="31">
        <f>31.1</f>
        <v>31.1</v>
      </c>
      <c r="M504" s="26">
        <f>28.4</f>
        <v>28.4</v>
      </c>
      <c r="N504" s="26">
        <f>26.7</f>
        <v>26.7</v>
      </c>
      <c r="O504" s="26">
        <f>26.7</f>
        <v>26.7</v>
      </c>
      <c r="P504" s="26"/>
      <c r="Q504" s="26"/>
      <c r="R504" s="26"/>
      <c r="S504" s="32"/>
      <c r="T504" s="5"/>
    </row>
    <row r="505" spans="1:20" ht="25.25" customHeight="1">
      <c r="A505" s="132" t="s">
        <v>37</v>
      </c>
      <c r="B505" s="24" t="s">
        <v>452</v>
      </c>
      <c r="C505" s="26"/>
      <c r="D505" s="25" t="s">
        <v>311</v>
      </c>
      <c r="E505" s="25" t="s">
        <v>455</v>
      </c>
      <c r="F505" s="26"/>
      <c r="G505" s="81"/>
      <c r="H505" s="174"/>
      <c r="I505" s="177" t="s">
        <v>460</v>
      </c>
      <c r="J505" s="24" t="s">
        <v>267</v>
      </c>
      <c r="K505" s="134"/>
      <c r="L505" s="31">
        <f>28.5</f>
        <v>28.5</v>
      </c>
      <c r="M505" s="26">
        <f>28.2</f>
        <v>28.2</v>
      </c>
      <c r="N505" s="26">
        <f>27.9</f>
        <v>27.9</v>
      </c>
      <c r="O505" s="26">
        <f>28.5</f>
        <v>28.5</v>
      </c>
      <c r="P505" s="26"/>
      <c r="Q505" s="26"/>
      <c r="R505" s="26"/>
      <c r="S505" s="32"/>
      <c r="T505" s="5"/>
    </row>
    <row r="506" spans="1:20" ht="24" customHeight="1">
      <c r="A506" s="132" t="s">
        <v>37</v>
      </c>
      <c r="B506" s="24" t="s">
        <v>452</v>
      </c>
      <c r="C506" s="26"/>
      <c r="D506" s="25" t="s">
        <v>311</v>
      </c>
      <c r="E506" s="25" t="s">
        <v>456</v>
      </c>
      <c r="F506" s="26"/>
      <c r="G506" s="81"/>
      <c r="H506" s="174"/>
      <c r="I506" s="177" t="s">
        <v>460</v>
      </c>
      <c r="J506" s="24" t="s">
        <v>267</v>
      </c>
      <c r="K506" s="134"/>
      <c r="L506" s="31">
        <f>29.3</f>
        <v>29.3</v>
      </c>
      <c r="M506" s="26">
        <f>31.9</f>
        <v>31.9</v>
      </c>
      <c r="N506" s="26">
        <f>33.3</f>
        <v>33.299999999999997</v>
      </c>
      <c r="O506" s="26">
        <f>34.6</f>
        <v>34.6</v>
      </c>
      <c r="P506" s="26"/>
      <c r="Q506" s="26"/>
      <c r="R506" s="26"/>
      <c r="S506" s="32"/>
      <c r="T506" s="5"/>
    </row>
    <row r="507" spans="1:20" ht="22.75" customHeight="1">
      <c r="A507" s="132" t="s">
        <v>37</v>
      </c>
      <c r="B507" s="24" t="s">
        <v>452</v>
      </c>
      <c r="C507" s="26"/>
      <c r="D507" s="25" t="s">
        <v>311</v>
      </c>
      <c r="E507" s="25" t="s">
        <v>457</v>
      </c>
      <c r="F507" s="26"/>
      <c r="G507" s="81"/>
      <c r="H507" s="174"/>
      <c r="I507" s="177" t="s">
        <v>460</v>
      </c>
      <c r="J507" s="24" t="s">
        <v>267</v>
      </c>
      <c r="K507" s="134"/>
      <c r="L507" s="31">
        <f>31.1</f>
        <v>31.1</v>
      </c>
      <c r="M507" s="26">
        <f>28.4</f>
        <v>28.4</v>
      </c>
      <c r="N507" s="26">
        <f>26.7</f>
        <v>26.7</v>
      </c>
      <c r="O507" s="26">
        <f>26.7</f>
        <v>26.7</v>
      </c>
      <c r="P507" s="26"/>
      <c r="Q507" s="26"/>
      <c r="R507" s="26"/>
      <c r="S507" s="32"/>
      <c r="T507" s="5"/>
    </row>
    <row r="508" spans="1:20" ht="25.25" customHeight="1">
      <c r="A508" s="132" t="s">
        <v>37</v>
      </c>
      <c r="B508" s="24" t="s">
        <v>452</v>
      </c>
      <c r="C508" s="26"/>
      <c r="D508" s="25" t="s">
        <v>311</v>
      </c>
      <c r="E508" s="25" t="s">
        <v>458</v>
      </c>
      <c r="F508" s="26"/>
      <c r="G508" s="81"/>
      <c r="H508" s="174"/>
      <c r="I508" s="177" t="s">
        <v>460</v>
      </c>
      <c r="J508" s="24" t="s">
        <v>267</v>
      </c>
      <c r="K508" s="134"/>
      <c r="L508" s="31">
        <f>31.1</f>
        <v>31.1</v>
      </c>
      <c r="M508" s="26">
        <f>15.3</f>
        <v>15.3</v>
      </c>
      <c r="N508" s="26">
        <f>14.8</f>
        <v>14.8</v>
      </c>
      <c r="O508" s="26">
        <f>13</f>
        <v>13</v>
      </c>
      <c r="P508" s="26"/>
      <c r="Q508" s="26"/>
      <c r="R508" s="26"/>
      <c r="S508" s="32"/>
      <c r="T508" s="5"/>
    </row>
    <row r="509" spans="1:20" ht="30" customHeight="1">
      <c r="A509" s="132" t="s">
        <v>37</v>
      </c>
      <c r="B509" s="24" t="s">
        <v>452</v>
      </c>
      <c r="C509" s="26"/>
      <c r="D509" s="25" t="s">
        <v>311</v>
      </c>
      <c r="E509" s="25" t="s">
        <v>459</v>
      </c>
      <c r="F509" s="26"/>
      <c r="G509" s="81"/>
      <c r="H509" s="174"/>
      <c r="I509" s="177" t="s">
        <v>460</v>
      </c>
      <c r="J509" s="24" t="s">
        <v>267</v>
      </c>
      <c r="K509" s="134"/>
      <c r="L509" s="31">
        <f>23.3</f>
        <v>23.3</v>
      </c>
      <c r="M509" s="26">
        <f>2.8</f>
        <v>2.8</v>
      </c>
      <c r="N509" s="34">
        <f>2</f>
        <v>2</v>
      </c>
      <c r="O509" s="26">
        <f>1.9</f>
        <v>1.9</v>
      </c>
      <c r="P509" s="26"/>
      <c r="Q509" s="26"/>
      <c r="R509" s="26"/>
      <c r="S509" s="32"/>
      <c r="T509" s="5"/>
    </row>
    <row r="510" spans="1:20" ht="30" customHeight="1">
      <c r="A510" s="132" t="s">
        <v>37</v>
      </c>
      <c r="B510" s="24" t="s">
        <v>452</v>
      </c>
      <c r="C510" s="26"/>
      <c r="D510" s="25" t="s">
        <v>311</v>
      </c>
      <c r="E510" s="25" t="s">
        <v>453</v>
      </c>
      <c r="F510" s="26"/>
      <c r="G510" s="81"/>
      <c r="H510" s="174"/>
      <c r="I510" s="177" t="s">
        <v>461</v>
      </c>
      <c r="J510" s="24" t="s">
        <v>267</v>
      </c>
      <c r="K510" s="134"/>
      <c r="L510" s="31">
        <f>30.1</f>
        <v>30.1</v>
      </c>
      <c r="M510" s="26">
        <f>30</f>
        <v>30</v>
      </c>
      <c r="N510" s="26">
        <f>29.3</f>
        <v>29.3</v>
      </c>
      <c r="O510" s="26">
        <f>28.1</f>
        <v>28.1</v>
      </c>
      <c r="P510" s="26"/>
      <c r="Q510" s="26"/>
      <c r="R510" s="26"/>
      <c r="S510" s="32"/>
      <c r="T510" s="5"/>
    </row>
    <row r="511" spans="1:20" ht="26.4" customHeight="1">
      <c r="A511" s="132" t="s">
        <v>37</v>
      </c>
      <c r="B511" s="24" t="s">
        <v>452</v>
      </c>
      <c r="C511" s="26"/>
      <c r="D511" s="25" t="s">
        <v>311</v>
      </c>
      <c r="E511" s="25" t="s">
        <v>455</v>
      </c>
      <c r="F511" s="26"/>
      <c r="G511" s="81"/>
      <c r="H511" s="174"/>
      <c r="I511" s="177" t="s">
        <v>461</v>
      </c>
      <c r="J511" s="24" t="s">
        <v>267</v>
      </c>
      <c r="K511" s="134"/>
      <c r="L511" s="31">
        <f>29.4</f>
        <v>29.4</v>
      </c>
      <c r="M511" s="26">
        <f>29.4</f>
        <v>29.4</v>
      </c>
      <c r="N511" s="26">
        <f>28.4</f>
        <v>28.4</v>
      </c>
      <c r="O511" s="26">
        <f>27.1</f>
        <v>27.1</v>
      </c>
      <c r="P511" s="26"/>
      <c r="Q511" s="26"/>
      <c r="R511" s="26"/>
      <c r="S511" s="32"/>
      <c r="T511" s="5"/>
    </row>
    <row r="512" spans="1:20" ht="27" customHeight="1">
      <c r="A512" s="132" t="s">
        <v>37</v>
      </c>
      <c r="B512" s="24" t="s">
        <v>452</v>
      </c>
      <c r="C512" s="26"/>
      <c r="D512" s="25" t="s">
        <v>311</v>
      </c>
      <c r="E512" s="25" t="s">
        <v>456</v>
      </c>
      <c r="F512" s="26"/>
      <c r="G512" s="81"/>
      <c r="H512" s="174"/>
      <c r="I512" s="177" t="s">
        <v>461</v>
      </c>
      <c r="J512" s="24" t="s">
        <v>267</v>
      </c>
      <c r="K512" s="134"/>
      <c r="L512" s="55">
        <f>29</f>
        <v>29</v>
      </c>
      <c r="M512" s="26">
        <f>27.9</f>
        <v>27.9</v>
      </c>
      <c r="N512" s="26">
        <f>26.5</f>
        <v>26.5</v>
      </c>
      <c r="O512" s="34">
        <f>25</f>
        <v>25</v>
      </c>
      <c r="P512" s="26"/>
      <c r="Q512" s="26"/>
      <c r="R512" s="26"/>
      <c r="S512" s="32"/>
      <c r="T512" s="5"/>
    </row>
    <row r="513" spans="1:20" ht="27" customHeight="1">
      <c r="A513" s="132" t="s">
        <v>37</v>
      </c>
      <c r="B513" s="24" t="s">
        <v>452</v>
      </c>
      <c r="C513" s="26"/>
      <c r="D513" s="25" t="s">
        <v>311</v>
      </c>
      <c r="E513" s="25" t="s">
        <v>457</v>
      </c>
      <c r="F513" s="26"/>
      <c r="G513" s="81"/>
      <c r="H513" s="174"/>
      <c r="I513" s="177" t="s">
        <v>461</v>
      </c>
      <c r="J513" s="24" t="s">
        <v>267</v>
      </c>
      <c r="K513" s="134"/>
      <c r="L513" s="31">
        <f>30.1</f>
        <v>30.1</v>
      </c>
      <c r="M513" s="26">
        <f>30</f>
        <v>30</v>
      </c>
      <c r="N513" s="26">
        <f>29.3</f>
        <v>29.3</v>
      </c>
      <c r="O513" s="26">
        <f>28.1</f>
        <v>28.1</v>
      </c>
      <c r="P513" s="26"/>
      <c r="Q513" s="26"/>
      <c r="R513" s="26"/>
      <c r="S513" s="32"/>
      <c r="T513" s="5"/>
    </row>
    <row r="514" spans="1:20" ht="24" customHeight="1">
      <c r="A514" s="132" t="s">
        <v>37</v>
      </c>
      <c r="B514" s="24" t="s">
        <v>452</v>
      </c>
      <c r="C514" s="26"/>
      <c r="D514" s="25" t="s">
        <v>311</v>
      </c>
      <c r="E514" s="25" t="s">
        <v>458</v>
      </c>
      <c r="F514" s="26"/>
      <c r="G514" s="81"/>
      <c r="H514" s="174"/>
      <c r="I514" s="177" t="s">
        <v>461</v>
      </c>
      <c r="J514" s="24" t="s">
        <v>267</v>
      </c>
      <c r="K514" s="134"/>
      <c r="L514" s="31">
        <f>30.1</f>
        <v>30.1</v>
      </c>
      <c r="M514" s="26">
        <f>28.4</f>
        <v>28.4</v>
      </c>
      <c r="N514" s="26">
        <f>27.7</f>
        <v>27.7</v>
      </c>
      <c r="O514" s="26">
        <f>26.7</f>
        <v>26.7</v>
      </c>
      <c r="P514" s="26"/>
      <c r="Q514" s="26"/>
      <c r="R514" s="26"/>
      <c r="S514" s="32"/>
      <c r="T514" s="5"/>
    </row>
    <row r="515" spans="1:20" ht="26.4" customHeight="1">
      <c r="A515" s="132" t="s">
        <v>37</v>
      </c>
      <c r="B515" s="24" t="s">
        <v>452</v>
      </c>
      <c r="C515" s="26"/>
      <c r="D515" s="25" t="s">
        <v>311</v>
      </c>
      <c r="E515" s="25" t="s">
        <v>459</v>
      </c>
      <c r="F515" s="26"/>
      <c r="G515" s="81"/>
      <c r="H515" s="174"/>
      <c r="I515" s="177" t="s">
        <v>461</v>
      </c>
      <c r="J515" s="24" t="s">
        <v>267</v>
      </c>
      <c r="K515" s="134"/>
      <c r="L515" s="31">
        <f>27.4</f>
        <v>27.4</v>
      </c>
      <c r="M515" s="26">
        <f>24.5</f>
        <v>24.5</v>
      </c>
      <c r="N515" s="26">
        <f>18.8</f>
        <v>18.8</v>
      </c>
      <c r="O515" s="26">
        <f>17.6</f>
        <v>17.600000000000001</v>
      </c>
      <c r="P515" s="26"/>
      <c r="Q515" s="26"/>
      <c r="R515" s="26"/>
      <c r="S515" s="32"/>
      <c r="T515" s="5"/>
    </row>
    <row r="516" spans="1:20" ht="27" customHeight="1">
      <c r="A516" s="132" t="s">
        <v>37</v>
      </c>
      <c r="B516" s="24" t="s">
        <v>452</v>
      </c>
      <c r="C516" s="26"/>
      <c r="D516" s="25" t="s">
        <v>311</v>
      </c>
      <c r="E516" s="25" t="s">
        <v>453</v>
      </c>
      <c r="F516" s="26"/>
      <c r="G516" s="81"/>
      <c r="H516" s="174"/>
      <c r="I516" s="177" t="s">
        <v>462</v>
      </c>
      <c r="J516" s="24" t="s">
        <v>267</v>
      </c>
      <c r="K516" s="134"/>
      <c r="L516" s="31">
        <f>24.8</f>
        <v>24.8</v>
      </c>
      <c r="M516" s="26">
        <f>25.1</f>
        <v>25.1</v>
      </c>
      <c r="N516" s="26">
        <f>24.1</f>
        <v>24.1</v>
      </c>
      <c r="O516" s="26">
        <f>23.6</f>
        <v>23.6</v>
      </c>
      <c r="P516" s="26"/>
      <c r="Q516" s="26"/>
      <c r="R516" s="26"/>
      <c r="S516" s="32"/>
      <c r="T516" s="5"/>
    </row>
    <row r="517" spans="1:20" ht="30" customHeight="1">
      <c r="A517" s="132" t="s">
        <v>37</v>
      </c>
      <c r="B517" s="24" t="s">
        <v>452</v>
      </c>
      <c r="C517" s="26"/>
      <c r="D517" s="25" t="s">
        <v>311</v>
      </c>
      <c r="E517" s="25" t="s">
        <v>455</v>
      </c>
      <c r="F517" s="26"/>
      <c r="G517" s="81"/>
      <c r="H517" s="174"/>
      <c r="I517" s="177" t="s">
        <v>462</v>
      </c>
      <c r="J517" s="24" t="s">
        <v>267</v>
      </c>
      <c r="K517" s="134"/>
      <c r="L517" s="31">
        <f>24.5</f>
        <v>24.5</v>
      </c>
      <c r="M517" s="34">
        <f>23</f>
        <v>23</v>
      </c>
      <c r="N517" s="26">
        <f>22.9</f>
        <v>22.9</v>
      </c>
      <c r="O517" s="26">
        <f>22.9</f>
        <v>22.9</v>
      </c>
      <c r="P517" s="26"/>
      <c r="Q517" s="26"/>
      <c r="R517" s="26"/>
      <c r="S517" s="32"/>
      <c r="T517" s="5"/>
    </row>
    <row r="518" spans="1:20" ht="30" customHeight="1">
      <c r="A518" s="132" t="s">
        <v>37</v>
      </c>
      <c r="B518" s="24" t="s">
        <v>452</v>
      </c>
      <c r="C518" s="26"/>
      <c r="D518" s="25" t="s">
        <v>311</v>
      </c>
      <c r="E518" s="25" t="s">
        <v>456</v>
      </c>
      <c r="F518" s="26"/>
      <c r="G518" s="81"/>
      <c r="H518" s="174"/>
      <c r="I518" s="177" t="s">
        <v>462</v>
      </c>
      <c r="J518" s="24" t="s">
        <v>267</v>
      </c>
      <c r="K518" s="134"/>
      <c r="L518" s="31">
        <f>24.5</f>
        <v>24.5</v>
      </c>
      <c r="M518" s="26">
        <f>23.3</f>
        <v>23.3</v>
      </c>
      <c r="N518" s="26">
        <f>23.2</f>
        <v>23.2</v>
      </c>
      <c r="O518" s="26">
        <f>23.2</f>
        <v>23.2</v>
      </c>
      <c r="P518" s="26"/>
      <c r="Q518" s="26"/>
      <c r="R518" s="26"/>
      <c r="S518" s="32"/>
      <c r="T518" s="5"/>
    </row>
    <row r="519" spans="1:20" ht="28.25" customHeight="1">
      <c r="A519" s="132" t="s">
        <v>37</v>
      </c>
      <c r="B519" s="24" t="s">
        <v>452</v>
      </c>
      <c r="C519" s="26"/>
      <c r="D519" s="25" t="s">
        <v>311</v>
      </c>
      <c r="E519" s="25" t="s">
        <v>457</v>
      </c>
      <c r="F519" s="26"/>
      <c r="G519" s="81"/>
      <c r="H519" s="174"/>
      <c r="I519" s="177" t="s">
        <v>462</v>
      </c>
      <c r="J519" s="24" t="s">
        <v>267</v>
      </c>
      <c r="K519" s="134"/>
      <c r="L519" s="31">
        <f>24.8</f>
        <v>24.8</v>
      </c>
      <c r="M519" s="26">
        <f>25.1</f>
        <v>25.1</v>
      </c>
      <c r="N519" s="26">
        <f>24.1</f>
        <v>24.1</v>
      </c>
      <c r="O519" s="26">
        <f>23.6</f>
        <v>23.6</v>
      </c>
      <c r="P519" s="26"/>
      <c r="Q519" s="26"/>
      <c r="R519" s="26"/>
      <c r="S519" s="32"/>
      <c r="T519" s="5"/>
    </row>
    <row r="520" spans="1:20" ht="30" customHeight="1">
      <c r="A520" s="132" t="s">
        <v>37</v>
      </c>
      <c r="B520" s="24" t="s">
        <v>452</v>
      </c>
      <c r="C520" s="26"/>
      <c r="D520" s="25" t="s">
        <v>311</v>
      </c>
      <c r="E520" s="25" t="s">
        <v>458</v>
      </c>
      <c r="F520" s="26"/>
      <c r="G520" s="81"/>
      <c r="H520" s="174"/>
      <c r="I520" s="177" t="s">
        <v>462</v>
      </c>
      <c r="J520" s="24" t="s">
        <v>267</v>
      </c>
      <c r="K520" s="134"/>
      <c r="L520" s="31">
        <f>24.8</f>
        <v>24.8</v>
      </c>
      <c r="M520" s="34">
        <f>12</f>
        <v>12</v>
      </c>
      <c r="N520" s="26">
        <f>11.9</f>
        <v>11.9</v>
      </c>
      <c r="O520" s="26">
        <f>11.2</f>
        <v>11.2</v>
      </c>
      <c r="P520" s="26"/>
      <c r="Q520" s="26"/>
      <c r="R520" s="26"/>
      <c r="S520" s="32"/>
      <c r="T520" s="5"/>
    </row>
    <row r="521" spans="1:20" ht="26.4" customHeight="1">
      <c r="A521" s="132" t="s">
        <v>37</v>
      </c>
      <c r="B521" s="24" t="s">
        <v>452</v>
      </c>
      <c r="C521" s="26"/>
      <c r="D521" s="25" t="s">
        <v>311</v>
      </c>
      <c r="E521" s="25" t="s">
        <v>459</v>
      </c>
      <c r="F521" s="26"/>
      <c r="G521" s="81"/>
      <c r="H521" s="174"/>
      <c r="I521" s="177" t="s">
        <v>462</v>
      </c>
      <c r="J521" s="24" t="s">
        <v>267</v>
      </c>
      <c r="K521" s="134"/>
      <c r="L521" s="31">
        <f>15.1</f>
        <v>15.1</v>
      </c>
      <c r="M521" s="26">
        <f>5.7</f>
        <v>5.7</v>
      </c>
      <c r="N521" s="26">
        <f>4.1</f>
        <v>4.0999999999999996</v>
      </c>
      <c r="O521" s="26">
        <f>4.1</f>
        <v>4.0999999999999996</v>
      </c>
      <c r="P521" s="26"/>
      <c r="Q521" s="26"/>
      <c r="R521" s="26"/>
      <c r="S521" s="32"/>
      <c r="T521" s="5"/>
    </row>
    <row r="522" spans="1:20" ht="25.25" customHeight="1">
      <c r="A522" s="132" t="s">
        <v>37</v>
      </c>
      <c r="B522" s="24" t="s">
        <v>452</v>
      </c>
      <c r="C522" s="26"/>
      <c r="D522" s="25" t="s">
        <v>311</v>
      </c>
      <c r="E522" s="25" t="s">
        <v>453</v>
      </c>
      <c r="F522" s="26"/>
      <c r="G522" s="81"/>
      <c r="H522" s="174"/>
      <c r="I522" s="177" t="s">
        <v>463</v>
      </c>
      <c r="J522" s="24" t="s">
        <v>267</v>
      </c>
      <c r="K522" s="134"/>
      <c r="L522" s="31">
        <f>20.8</f>
        <v>20.8</v>
      </c>
      <c r="M522" s="26">
        <f>21.2</f>
        <v>21.2</v>
      </c>
      <c r="N522" s="26">
        <f>20.9</f>
        <v>20.9</v>
      </c>
      <c r="O522" s="26">
        <f>20.8</f>
        <v>20.8</v>
      </c>
      <c r="P522" s="26"/>
      <c r="Q522" s="26"/>
      <c r="R522" s="26"/>
      <c r="S522" s="32"/>
      <c r="T522" s="5"/>
    </row>
    <row r="523" spans="1:20" ht="26.4" customHeight="1">
      <c r="A523" s="132" t="s">
        <v>37</v>
      </c>
      <c r="B523" s="24" t="s">
        <v>452</v>
      </c>
      <c r="C523" s="26"/>
      <c r="D523" s="25" t="s">
        <v>311</v>
      </c>
      <c r="E523" s="25" t="s">
        <v>455</v>
      </c>
      <c r="F523" s="26"/>
      <c r="G523" s="81"/>
      <c r="H523" s="174"/>
      <c r="I523" s="177" t="s">
        <v>463</v>
      </c>
      <c r="J523" s="24" t="s">
        <v>267</v>
      </c>
      <c r="K523" s="134"/>
      <c r="L523" s="31">
        <f>20.9</f>
        <v>20.9</v>
      </c>
      <c r="M523" s="26">
        <f>20.6</f>
        <v>20.6</v>
      </c>
      <c r="N523" s="26">
        <f>20.7</f>
        <v>20.7</v>
      </c>
      <c r="O523" s="26">
        <f>20.7</f>
        <v>20.7</v>
      </c>
      <c r="P523" s="26"/>
      <c r="Q523" s="26"/>
      <c r="R523" s="26"/>
      <c r="S523" s="32"/>
      <c r="T523" s="5"/>
    </row>
    <row r="524" spans="1:20" ht="28.75" customHeight="1">
      <c r="A524" s="132" t="s">
        <v>37</v>
      </c>
      <c r="B524" s="24" t="s">
        <v>452</v>
      </c>
      <c r="C524" s="26"/>
      <c r="D524" s="25" t="s">
        <v>311</v>
      </c>
      <c r="E524" s="25" t="s">
        <v>456</v>
      </c>
      <c r="F524" s="26"/>
      <c r="G524" s="81"/>
      <c r="H524" s="174"/>
      <c r="I524" s="177" t="s">
        <v>463</v>
      </c>
      <c r="J524" s="24" t="s">
        <v>267</v>
      </c>
      <c r="K524" s="134"/>
      <c r="L524" s="31">
        <f>20.8</f>
        <v>20.8</v>
      </c>
      <c r="M524" s="26">
        <f>20.6</f>
        <v>20.6</v>
      </c>
      <c r="N524" s="26">
        <f>20.7</f>
        <v>20.7</v>
      </c>
      <c r="O524" s="26">
        <f>20.7</f>
        <v>20.7</v>
      </c>
      <c r="P524" s="26"/>
      <c r="Q524" s="26"/>
      <c r="R524" s="26"/>
      <c r="S524" s="32"/>
      <c r="T524" s="5"/>
    </row>
    <row r="525" spans="1:20" ht="27" customHeight="1">
      <c r="A525" s="132" t="s">
        <v>37</v>
      </c>
      <c r="B525" s="24" t="s">
        <v>452</v>
      </c>
      <c r="C525" s="26"/>
      <c r="D525" s="25" t="s">
        <v>311</v>
      </c>
      <c r="E525" s="25" t="s">
        <v>457</v>
      </c>
      <c r="F525" s="26"/>
      <c r="G525" s="81"/>
      <c r="H525" s="174"/>
      <c r="I525" s="177" t="s">
        <v>463</v>
      </c>
      <c r="J525" s="24" t="s">
        <v>267</v>
      </c>
      <c r="K525" s="134"/>
      <c r="L525" s="31">
        <f>20.8</f>
        <v>20.8</v>
      </c>
      <c r="M525" s="26">
        <f>21.2</f>
        <v>21.2</v>
      </c>
      <c r="N525" s="26">
        <f>20.9</f>
        <v>20.9</v>
      </c>
      <c r="O525" s="26">
        <f>20.8</f>
        <v>20.8</v>
      </c>
      <c r="P525" s="26"/>
      <c r="Q525" s="26"/>
      <c r="R525" s="26"/>
      <c r="S525" s="32"/>
      <c r="T525" s="5"/>
    </row>
    <row r="526" spans="1:20" ht="28.25" customHeight="1">
      <c r="A526" s="132" t="s">
        <v>37</v>
      </c>
      <c r="B526" s="24" t="s">
        <v>452</v>
      </c>
      <c r="C526" s="26"/>
      <c r="D526" s="25" t="s">
        <v>311</v>
      </c>
      <c r="E526" s="25" t="s">
        <v>458</v>
      </c>
      <c r="F526" s="26"/>
      <c r="G526" s="81"/>
      <c r="H526" s="174"/>
      <c r="I526" s="177" t="s">
        <v>463</v>
      </c>
      <c r="J526" s="24" t="s">
        <v>267</v>
      </c>
      <c r="K526" s="134"/>
      <c r="L526" s="31">
        <f>20.8</f>
        <v>20.8</v>
      </c>
      <c r="M526" s="26">
        <f>17.4</f>
        <v>17.399999999999999</v>
      </c>
      <c r="N526" s="26">
        <f>17.3</f>
        <v>17.3</v>
      </c>
      <c r="O526" s="26">
        <f>16.6</f>
        <v>16.600000000000001</v>
      </c>
      <c r="P526" s="26"/>
      <c r="Q526" s="26"/>
      <c r="R526" s="26"/>
      <c r="S526" s="32"/>
      <c r="T526" s="5"/>
    </row>
    <row r="527" spans="1:20" ht="27" customHeight="1">
      <c r="A527" s="160" t="s">
        <v>37</v>
      </c>
      <c r="B527" s="161" t="s">
        <v>452</v>
      </c>
      <c r="C527" s="171"/>
      <c r="D527" s="163" t="s">
        <v>311</v>
      </c>
      <c r="E527" s="163" t="s">
        <v>459</v>
      </c>
      <c r="F527" s="171"/>
      <c r="G527" s="165"/>
      <c r="H527" s="174"/>
      <c r="I527" s="178" t="s">
        <v>463</v>
      </c>
      <c r="J527" s="110" t="s">
        <v>267</v>
      </c>
      <c r="K527" s="138"/>
      <c r="L527" s="179">
        <f>19.5</f>
        <v>19.5</v>
      </c>
      <c r="M527" s="171">
        <f>8.4</f>
        <v>8.4</v>
      </c>
      <c r="N527" s="171">
        <f>5.8</f>
        <v>5.8</v>
      </c>
      <c r="O527" s="171">
        <f>5.9</f>
        <v>5.9</v>
      </c>
      <c r="P527" s="171"/>
      <c r="Q527" s="171"/>
      <c r="R527" s="171"/>
      <c r="S527" s="172"/>
      <c r="T527" s="5"/>
    </row>
    <row r="528" spans="1:20" ht="28.25" customHeight="1">
      <c r="A528" s="119" t="s">
        <v>38</v>
      </c>
      <c r="B528" s="122" t="s">
        <v>464</v>
      </c>
      <c r="C528" s="180"/>
      <c r="D528" s="122" t="s">
        <v>409</v>
      </c>
      <c r="E528" s="180"/>
      <c r="F528" s="180"/>
      <c r="G528" s="173"/>
      <c r="H528" s="147"/>
      <c r="I528" s="175" t="s">
        <v>465</v>
      </c>
      <c r="J528" s="181" t="s">
        <v>267</v>
      </c>
      <c r="K528" s="126"/>
      <c r="L528" s="176">
        <f>144</f>
        <v>144</v>
      </c>
      <c r="M528" s="22"/>
      <c r="N528" s="22">
        <f>145</f>
        <v>145</v>
      </c>
      <c r="O528" s="22"/>
      <c r="P528" s="22"/>
      <c r="Q528" s="22">
        <f>114</f>
        <v>114</v>
      </c>
      <c r="R528" s="22"/>
      <c r="S528" s="23"/>
      <c r="T528" s="5"/>
    </row>
    <row r="529" spans="1:20" ht="25.25" customHeight="1">
      <c r="A529" s="160" t="s">
        <v>38</v>
      </c>
      <c r="B529" s="163" t="s">
        <v>464</v>
      </c>
      <c r="C529" s="164"/>
      <c r="D529" s="163" t="s">
        <v>409</v>
      </c>
      <c r="E529" s="164"/>
      <c r="F529" s="164"/>
      <c r="G529" s="165"/>
      <c r="H529" s="147"/>
      <c r="I529" s="178" t="s">
        <v>466</v>
      </c>
      <c r="J529" s="182" t="s">
        <v>267</v>
      </c>
      <c r="K529" s="168"/>
      <c r="L529" s="179">
        <f>78</f>
        <v>78</v>
      </c>
      <c r="M529" s="171"/>
      <c r="N529" s="171">
        <f>103</f>
        <v>103</v>
      </c>
      <c r="O529" s="171"/>
      <c r="P529" s="171"/>
      <c r="Q529" s="171">
        <f>76</f>
        <v>76</v>
      </c>
      <c r="R529" s="171"/>
      <c r="S529" s="172"/>
      <c r="T529" s="5"/>
    </row>
    <row r="530" spans="1:20" ht="13" customHeight="1">
      <c r="A530" s="183"/>
      <c r="B530" s="183"/>
      <c r="C530" s="183"/>
      <c r="D530" s="183"/>
      <c r="E530" s="183"/>
      <c r="F530" s="183"/>
      <c r="G530" s="147"/>
      <c r="H530" s="147"/>
      <c r="I530" s="147"/>
      <c r="J530" s="147"/>
      <c r="K530" s="147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13" customHeight="1">
      <c r="A531" s="183"/>
      <c r="B531" s="183"/>
      <c r="C531" s="183"/>
      <c r="D531" s="183"/>
      <c r="E531" s="183"/>
      <c r="F531" s="183"/>
      <c r="G531" s="147"/>
      <c r="H531" s="147"/>
      <c r="I531" s="147"/>
      <c r="J531" s="147"/>
      <c r="K531" s="147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13" customHeight="1">
      <c r="A532" s="183"/>
      <c r="B532" s="183"/>
      <c r="C532" s="183"/>
      <c r="D532" s="183"/>
      <c r="E532" s="183"/>
      <c r="F532" s="183"/>
      <c r="G532" s="147"/>
      <c r="H532" s="147"/>
      <c r="I532" s="147"/>
      <c r="J532" s="147"/>
      <c r="K532" s="147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13" customHeight="1">
      <c r="A533" s="183"/>
      <c r="B533" s="183"/>
      <c r="C533" s="183"/>
      <c r="D533" s="183"/>
      <c r="E533" s="183"/>
      <c r="F533" s="183"/>
      <c r="G533" s="147"/>
      <c r="H533" s="147"/>
      <c r="I533" s="147"/>
      <c r="J533" s="147"/>
      <c r="K533" s="147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13" customHeight="1">
      <c r="A534" s="183"/>
      <c r="B534" s="183"/>
      <c r="C534" s="183"/>
      <c r="D534" s="183"/>
      <c r="E534" s="183"/>
      <c r="F534" s="183"/>
      <c r="G534" s="147"/>
      <c r="H534" s="147"/>
      <c r="I534" s="147"/>
      <c r="J534" s="147"/>
      <c r="K534" s="147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13" customHeight="1">
      <c r="A535" s="183"/>
      <c r="B535" s="183"/>
      <c r="C535" s="183"/>
      <c r="D535" s="183"/>
      <c r="E535" s="183"/>
      <c r="F535" s="183"/>
      <c r="G535" s="147"/>
      <c r="H535" s="147"/>
      <c r="I535" s="147"/>
      <c r="J535" s="147"/>
      <c r="K535" s="147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13" customHeight="1">
      <c r="A536" s="183"/>
      <c r="B536" s="183"/>
      <c r="C536" s="183"/>
      <c r="D536" s="183"/>
      <c r="E536" s="183"/>
      <c r="F536" s="183"/>
      <c r="G536" s="147"/>
      <c r="H536" s="147"/>
      <c r="I536" s="147"/>
      <c r="J536" s="147"/>
      <c r="K536" s="147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13" customHeight="1">
      <c r="A537" s="183"/>
      <c r="B537" s="183"/>
      <c r="C537" s="183"/>
      <c r="D537" s="183"/>
      <c r="E537" s="183"/>
      <c r="F537" s="183"/>
      <c r="G537" s="147"/>
      <c r="H537" s="147"/>
      <c r="I537" s="147"/>
      <c r="J537" s="147"/>
      <c r="K537" s="147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13" customHeight="1">
      <c r="A538" s="183"/>
      <c r="B538" s="183"/>
      <c r="C538" s="183"/>
      <c r="D538" s="183"/>
      <c r="E538" s="183"/>
      <c r="F538" s="183"/>
      <c r="G538" s="147"/>
      <c r="H538" s="147"/>
      <c r="I538" s="147"/>
      <c r="J538" s="147"/>
      <c r="K538" s="147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13" customHeight="1">
      <c r="A539" s="183"/>
      <c r="B539" s="183"/>
      <c r="C539" s="183"/>
      <c r="D539" s="183"/>
      <c r="E539" s="183"/>
      <c r="F539" s="183"/>
      <c r="G539" s="147"/>
      <c r="H539" s="147"/>
      <c r="I539" s="147"/>
      <c r="J539" s="147"/>
      <c r="K539" s="147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13" customHeight="1">
      <c r="A540" s="183"/>
      <c r="B540" s="183"/>
      <c r="C540" s="183"/>
      <c r="D540" s="183"/>
      <c r="E540" s="183"/>
      <c r="F540" s="183"/>
      <c r="G540" s="147"/>
      <c r="H540" s="147"/>
      <c r="I540" s="147"/>
      <c r="J540" s="147"/>
      <c r="K540" s="147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13" customHeight="1">
      <c r="A541" s="183"/>
      <c r="B541" s="183"/>
      <c r="C541" s="183"/>
      <c r="D541" s="183"/>
      <c r="E541" s="183"/>
      <c r="F541" s="183"/>
      <c r="G541" s="147"/>
      <c r="H541" s="147"/>
      <c r="I541" s="147"/>
      <c r="J541" s="147"/>
      <c r="K541" s="147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13" customHeight="1">
      <c r="A542" s="183"/>
      <c r="B542" s="183"/>
      <c r="C542" s="183"/>
      <c r="D542" s="183"/>
      <c r="E542" s="183"/>
      <c r="F542" s="183"/>
      <c r="G542" s="147"/>
      <c r="H542" s="147"/>
      <c r="I542" s="147"/>
      <c r="J542" s="147"/>
      <c r="K542" s="147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13" customHeight="1">
      <c r="A543" s="183"/>
      <c r="B543" s="183"/>
      <c r="C543" s="183"/>
      <c r="D543" s="183"/>
      <c r="E543" s="183"/>
      <c r="F543" s="183"/>
      <c r="G543" s="147"/>
      <c r="H543" s="147"/>
      <c r="I543" s="147"/>
      <c r="J543" s="147"/>
      <c r="K543" s="147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13" customHeight="1">
      <c r="A544" s="183"/>
      <c r="B544" s="183"/>
      <c r="C544" s="183"/>
      <c r="D544" s="183"/>
      <c r="E544" s="183"/>
      <c r="F544" s="183"/>
      <c r="G544" s="147"/>
      <c r="H544" s="147"/>
      <c r="I544" s="147"/>
      <c r="J544" s="147"/>
      <c r="K544" s="147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13" customHeight="1">
      <c r="A545" s="183"/>
      <c r="B545" s="183"/>
      <c r="C545" s="183"/>
      <c r="D545" s="183"/>
      <c r="E545" s="183"/>
      <c r="F545" s="183"/>
      <c r="G545" s="147"/>
      <c r="H545" s="147"/>
      <c r="I545" s="147"/>
      <c r="J545" s="147"/>
      <c r="K545" s="147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13" customHeight="1">
      <c r="A546" s="183"/>
      <c r="B546" s="183"/>
      <c r="C546" s="183"/>
      <c r="D546" s="183"/>
      <c r="E546" s="183"/>
      <c r="F546" s="183"/>
      <c r="G546" s="147"/>
      <c r="H546" s="147"/>
      <c r="I546" s="147"/>
      <c r="J546" s="147"/>
      <c r="K546" s="147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13" customHeight="1">
      <c r="A547" s="183"/>
      <c r="B547" s="183"/>
      <c r="C547" s="183"/>
      <c r="D547" s="183"/>
      <c r="E547" s="183"/>
      <c r="F547" s="183"/>
      <c r="G547" s="147"/>
      <c r="H547" s="147"/>
      <c r="I547" s="147"/>
      <c r="J547" s="147"/>
      <c r="K547" s="147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13" customHeight="1">
      <c r="A548" s="183"/>
      <c r="B548" s="183"/>
      <c r="C548" s="183"/>
      <c r="D548" s="183"/>
      <c r="E548" s="183"/>
      <c r="F548" s="183"/>
      <c r="G548" s="147"/>
      <c r="H548" s="147"/>
      <c r="I548" s="147"/>
      <c r="J548" s="147"/>
      <c r="K548" s="147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13" customHeight="1">
      <c r="A549" s="183"/>
      <c r="B549" s="183"/>
      <c r="C549" s="183"/>
      <c r="D549" s="183"/>
      <c r="E549" s="183"/>
      <c r="F549" s="183"/>
      <c r="G549" s="147"/>
      <c r="H549" s="147"/>
      <c r="I549" s="147"/>
      <c r="J549" s="147"/>
      <c r="K549" s="147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13" customHeight="1">
      <c r="A550" s="183"/>
      <c r="B550" s="183"/>
      <c r="C550" s="183"/>
      <c r="D550" s="183"/>
      <c r="E550" s="183"/>
      <c r="F550" s="183"/>
      <c r="G550" s="147"/>
      <c r="H550" s="147"/>
      <c r="I550" s="147"/>
      <c r="J550" s="147"/>
      <c r="K550" s="147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13" customHeight="1">
      <c r="A551" s="183"/>
      <c r="B551" s="183"/>
      <c r="C551" s="183"/>
      <c r="D551" s="183"/>
      <c r="E551" s="183"/>
      <c r="F551" s="183"/>
      <c r="G551" s="147"/>
      <c r="H551" s="147"/>
      <c r="I551" s="147"/>
      <c r="J551" s="147"/>
      <c r="K551" s="147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13" customHeight="1">
      <c r="A552" s="183"/>
      <c r="B552" s="183"/>
      <c r="C552" s="183"/>
      <c r="D552" s="183"/>
      <c r="E552" s="183"/>
      <c r="F552" s="183"/>
      <c r="G552" s="147"/>
      <c r="H552" s="147"/>
      <c r="I552" s="147"/>
      <c r="J552" s="147"/>
      <c r="K552" s="147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13" customHeight="1">
      <c r="A553" s="183"/>
      <c r="B553" s="183"/>
      <c r="C553" s="183"/>
      <c r="D553" s="183"/>
      <c r="E553" s="183"/>
      <c r="F553" s="183"/>
      <c r="G553" s="147"/>
      <c r="H553" s="147"/>
      <c r="I553" s="147"/>
      <c r="J553" s="147"/>
      <c r="K553" s="147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13" customHeight="1">
      <c r="A554" s="183"/>
      <c r="B554" s="183"/>
      <c r="C554" s="183"/>
      <c r="D554" s="183"/>
      <c r="E554" s="183"/>
      <c r="F554" s="183"/>
      <c r="G554" s="147"/>
      <c r="H554" s="147"/>
      <c r="I554" s="147"/>
      <c r="J554" s="147"/>
      <c r="K554" s="147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13" customHeight="1">
      <c r="A555" s="183"/>
      <c r="B555" s="183"/>
      <c r="C555" s="183"/>
      <c r="D555" s="183"/>
      <c r="E555" s="183"/>
      <c r="F555" s="183"/>
      <c r="G555" s="147"/>
      <c r="H555" s="147"/>
      <c r="I555" s="147"/>
      <c r="J555" s="147"/>
      <c r="K555" s="147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13" customHeight="1">
      <c r="A556" s="183"/>
      <c r="B556" s="183"/>
      <c r="C556" s="183"/>
      <c r="D556" s="183"/>
      <c r="E556" s="183"/>
      <c r="F556" s="183"/>
      <c r="G556" s="147"/>
      <c r="H556" s="147"/>
      <c r="I556" s="147"/>
      <c r="J556" s="147"/>
      <c r="K556" s="147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13" customHeight="1">
      <c r="A557" s="183"/>
      <c r="B557" s="183"/>
      <c r="C557" s="183"/>
      <c r="D557" s="183"/>
      <c r="E557" s="183"/>
      <c r="F557" s="183"/>
      <c r="G557" s="147"/>
      <c r="H557" s="147"/>
      <c r="I557" s="147"/>
      <c r="J557" s="147"/>
      <c r="K557" s="147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13" customHeight="1">
      <c r="A558" s="183"/>
      <c r="B558" s="183"/>
      <c r="C558" s="183"/>
      <c r="D558" s="183"/>
      <c r="E558" s="183"/>
      <c r="F558" s="183"/>
      <c r="G558" s="147"/>
      <c r="H558" s="147"/>
      <c r="I558" s="147"/>
      <c r="J558" s="147"/>
      <c r="K558" s="147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13" customHeight="1">
      <c r="A559" s="183"/>
      <c r="B559" s="183"/>
      <c r="C559" s="183"/>
      <c r="D559" s="183"/>
      <c r="E559" s="183"/>
      <c r="F559" s="183"/>
      <c r="G559" s="147"/>
      <c r="H559" s="147"/>
      <c r="I559" s="147"/>
      <c r="J559" s="147"/>
      <c r="K559" s="147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13" customHeight="1">
      <c r="A560" s="183"/>
      <c r="B560" s="183"/>
      <c r="C560" s="183"/>
      <c r="D560" s="183"/>
      <c r="E560" s="183"/>
      <c r="F560" s="183"/>
      <c r="G560" s="147"/>
      <c r="H560" s="147"/>
      <c r="I560" s="147"/>
      <c r="J560" s="147"/>
      <c r="K560" s="147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13" customHeight="1">
      <c r="A561" s="183"/>
      <c r="B561" s="183"/>
      <c r="C561" s="183"/>
      <c r="D561" s="183"/>
      <c r="E561" s="183"/>
      <c r="F561" s="183"/>
      <c r="G561" s="147"/>
      <c r="H561" s="147"/>
      <c r="I561" s="147"/>
      <c r="J561" s="147"/>
      <c r="K561" s="147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13" customHeight="1">
      <c r="A562" s="183"/>
      <c r="B562" s="183"/>
      <c r="C562" s="183"/>
      <c r="D562" s="183"/>
      <c r="E562" s="183"/>
      <c r="F562" s="183"/>
      <c r="G562" s="147"/>
      <c r="H562" s="147"/>
      <c r="I562" s="147"/>
      <c r="J562" s="147"/>
      <c r="K562" s="147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13" customHeight="1">
      <c r="A563" s="183"/>
      <c r="B563" s="183"/>
      <c r="C563" s="183"/>
      <c r="D563" s="183"/>
      <c r="E563" s="183"/>
      <c r="F563" s="183"/>
      <c r="G563" s="147"/>
      <c r="H563" s="147"/>
      <c r="I563" s="147"/>
      <c r="J563" s="147"/>
      <c r="K563" s="147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13" customHeight="1">
      <c r="A564" s="183"/>
      <c r="B564" s="183"/>
      <c r="C564" s="183"/>
      <c r="D564" s="183"/>
      <c r="E564" s="183"/>
      <c r="F564" s="183"/>
      <c r="G564" s="147"/>
      <c r="H564" s="147"/>
      <c r="I564" s="147"/>
      <c r="J564" s="147"/>
      <c r="K564" s="147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13" customHeight="1">
      <c r="A565" s="183"/>
      <c r="B565" s="183"/>
      <c r="C565" s="183"/>
      <c r="D565" s="183"/>
      <c r="E565" s="183"/>
      <c r="F565" s="183"/>
      <c r="G565" s="147"/>
      <c r="H565" s="147"/>
      <c r="I565" s="147"/>
      <c r="J565" s="147"/>
      <c r="K565" s="147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13" customHeight="1">
      <c r="A566" s="183"/>
      <c r="B566" s="183"/>
      <c r="C566" s="183"/>
      <c r="D566" s="183"/>
      <c r="E566" s="183"/>
      <c r="F566" s="183"/>
      <c r="G566" s="147"/>
      <c r="H566" s="147"/>
      <c r="I566" s="147"/>
      <c r="J566" s="147"/>
      <c r="K566" s="147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13" customHeight="1">
      <c r="A567" s="183"/>
      <c r="B567" s="183"/>
      <c r="C567" s="183"/>
      <c r="D567" s="183"/>
      <c r="E567" s="183"/>
      <c r="F567" s="183"/>
      <c r="G567" s="147"/>
      <c r="H567" s="147"/>
      <c r="I567" s="147"/>
      <c r="J567" s="147"/>
      <c r="K567" s="147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13" customHeight="1">
      <c r="A568" s="183"/>
      <c r="B568" s="183"/>
      <c r="C568" s="183"/>
      <c r="D568" s="183"/>
      <c r="E568" s="183"/>
      <c r="F568" s="183"/>
      <c r="G568" s="147"/>
      <c r="H568" s="147"/>
      <c r="I568" s="147"/>
      <c r="J568" s="147"/>
      <c r="K568" s="147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13" customHeight="1">
      <c r="A569" s="183"/>
      <c r="B569" s="183"/>
      <c r="C569" s="183"/>
      <c r="D569" s="183"/>
      <c r="E569" s="183"/>
      <c r="F569" s="183"/>
      <c r="G569" s="147"/>
      <c r="H569" s="147"/>
      <c r="I569" s="147"/>
      <c r="J569" s="147"/>
      <c r="K569" s="147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13" customHeight="1">
      <c r="A570" s="183"/>
      <c r="B570" s="183"/>
      <c r="C570" s="183"/>
      <c r="D570" s="183"/>
      <c r="E570" s="183"/>
      <c r="F570" s="183"/>
      <c r="G570" s="147"/>
      <c r="H570" s="147"/>
      <c r="I570" s="147"/>
      <c r="J570" s="147"/>
      <c r="K570" s="147"/>
      <c r="L570" s="183"/>
      <c r="M570" s="183"/>
      <c r="N570" s="183"/>
      <c r="O570" s="183"/>
      <c r="P570" s="183"/>
    </row>
    <row r="571" spans="1:20" ht="13" customHeight="1">
      <c r="A571" s="183"/>
      <c r="B571" s="183"/>
      <c r="C571" s="183"/>
      <c r="D571" s="183"/>
      <c r="E571" s="183"/>
      <c r="F571" s="183"/>
      <c r="G571" s="147"/>
      <c r="H571" s="147"/>
      <c r="I571" s="147"/>
      <c r="J571" s="147"/>
      <c r="K571" s="147"/>
      <c r="L571" s="183"/>
      <c r="M571" s="183"/>
      <c r="N571" s="183"/>
      <c r="O571" s="183"/>
      <c r="P571" s="183"/>
    </row>
    <row r="572" spans="1:20" ht="13" customHeight="1">
      <c r="A572" s="183"/>
      <c r="B572" s="183"/>
      <c r="C572" s="183"/>
      <c r="D572" s="183"/>
      <c r="E572" s="183"/>
      <c r="F572" s="183"/>
      <c r="G572" s="147"/>
      <c r="H572" s="147"/>
      <c r="I572" s="147"/>
      <c r="J572" s="147"/>
      <c r="K572" s="147"/>
      <c r="L572" s="183"/>
      <c r="M572" s="183"/>
      <c r="N572" s="183"/>
      <c r="O572" s="183"/>
      <c r="P572" s="183"/>
    </row>
    <row r="573" spans="1:20" ht="13" customHeight="1">
      <c r="A573" s="183"/>
      <c r="B573" s="183"/>
      <c r="C573" s="183"/>
      <c r="D573" s="183"/>
      <c r="E573" s="183"/>
      <c r="F573" s="183"/>
      <c r="G573" s="147"/>
      <c r="H573" s="147"/>
      <c r="I573" s="147"/>
      <c r="J573" s="147"/>
      <c r="K573" s="147"/>
      <c r="L573" s="183"/>
      <c r="M573" s="183"/>
      <c r="N573" s="183"/>
      <c r="O573" s="183"/>
      <c r="P573" s="183"/>
    </row>
    <row r="574" spans="1:20" ht="13" customHeight="1">
      <c r="A574" s="183"/>
      <c r="B574" s="183"/>
      <c r="C574" s="183"/>
      <c r="D574" s="183"/>
      <c r="E574" s="183"/>
      <c r="F574" s="183"/>
      <c r="G574" s="147"/>
      <c r="H574" s="147"/>
      <c r="I574" s="147"/>
      <c r="J574" s="147"/>
      <c r="K574" s="147"/>
      <c r="L574" s="183"/>
      <c r="M574" s="183"/>
      <c r="N574" s="183"/>
      <c r="O574" s="183"/>
      <c r="P574" s="183"/>
    </row>
    <row r="575" spans="1:20" ht="13" customHeight="1">
      <c r="A575" s="183"/>
      <c r="B575" s="183"/>
      <c r="C575" s="183"/>
      <c r="D575" s="183"/>
      <c r="E575" s="183"/>
      <c r="F575" s="183"/>
      <c r="G575" s="147"/>
      <c r="H575" s="147"/>
      <c r="I575" s="147"/>
      <c r="J575" s="147"/>
      <c r="K575" s="147"/>
      <c r="L575" s="183"/>
      <c r="M575" s="183"/>
      <c r="N575" s="183"/>
      <c r="O575" s="183"/>
      <c r="P575" s="183"/>
    </row>
    <row r="576" spans="1:20" ht="13" customHeight="1">
      <c r="A576" s="183"/>
      <c r="B576" s="183"/>
      <c r="C576" s="183"/>
      <c r="D576" s="183"/>
      <c r="E576" s="183"/>
      <c r="F576" s="183"/>
      <c r="G576" s="147"/>
      <c r="H576" s="147"/>
      <c r="I576" s="147"/>
      <c r="J576" s="147"/>
      <c r="K576" s="147"/>
      <c r="L576" s="183"/>
      <c r="M576" s="183"/>
      <c r="N576" s="183"/>
      <c r="O576" s="183"/>
      <c r="P576" s="183"/>
    </row>
    <row r="577" spans="1:16" ht="13" customHeight="1">
      <c r="A577" s="183"/>
      <c r="B577" s="183"/>
      <c r="C577" s="183"/>
      <c r="D577" s="183"/>
      <c r="E577" s="183"/>
      <c r="F577" s="183"/>
      <c r="G577" s="147"/>
      <c r="H577" s="147"/>
      <c r="I577" s="147"/>
      <c r="J577" s="147"/>
      <c r="K577" s="147"/>
      <c r="L577" s="183"/>
      <c r="M577" s="183"/>
      <c r="N577" s="183"/>
      <c r="O577" s="183"/>
      <c r="P577" s="183"/>
    </row>
    <row r="578" spans="1:16" ht="13" customHeight="1">
      <c r="A578" s="183"/>
      <c r="B578" s="183"/>
      <c r="C578" s="183"/>
      <c r="D578" s="183"/>
      <c r="E578" s="183"/>
      <c r="F578" s="183"/>
      <c r="G578" s="147"/>
      <c r="H578" s="147"/>
      <c r="I578" s="147"/>
      <c r="J578" s="147"/>
      <c r="K578" s="147"/>
      <c r="L578" s="183"/>
      <c r="M578" s="183"/>
      <c r="N578" s="183"/>
      <c r="O578" s="183"/>
      <c r="P578" s="183"/>
    </row>
    <row r="579" spans="1:16" ht="13" customHeight="1">
      <c r="A579" s="183"/>
      <c r="B579" s="183"/>
      <c r="C579" s="183"/>
      <c r="D579" s="183"/>
      <c r="E579" s="183"/>
      <c r="F579" s="183"/>
      <c r="G579" s="147"/>
      <c r="H579" s="147"/>
      <c r="I579" s="147"/>
      <c r="J579" s="147"/>
      <c r="K579" s="147"/>
      <c r="L579" s="183"/>
      <c r="M579" s="183"/>
      <c r="N579" s="183"/>
      <c r="O579" s="183"/>
      <c r="P579" s="183"/>
    </row>
    <row r="580" spans="1:16" ht="13" customHeight="1">
      <c r="A580" s="183"/>
      <c r="B580" s="183"/>
      <c r="C580" s="183"/>
      <c r="D580" s="183"/>
      <c r="E580" s="183"/>
      <c r="F580" s="183"/>
      <c r="G580" s="147"/>
      <c r="H580" s="147"/>
      <c r="I580" s="147"/>
      <c r="J580" s="147"/>
      <c r="K580" s="147"/>
      <c r="L580" s="183"/>
      <c r="M580" s="183"/>
      <c r="N580" s="183"/>
      <c r="O580" s="183"/>
      <c r="P580" s="183"/>
    </row>
    <row r="581" spans="1:16" ht="13" customHeight="1">
      <c r="A581" s="183"/>
      <c r="B581" s="183"/>
      <c r="C581" s="183"/>
      <c r="D581" s="183"/>
      <c r="E581" s="183"/>
      <c r="F581" s="183"/>
      <c r="G581" s="147"/>
      <c r="H581" s="147"/>
      <c r="I581" s="147"/>
      <c r="J581" s="147"/>
      <c r="K581" s="147"/>
      <c r="L581" s="183"/>
      <c r="M581" s="183"/>
      <c r="N581" s="183"/>
      <c r="O581" s="183"/>
      <c r="P581" s="183"/>
    </row>
    <row r="582" spans="1:16" ht="13" customHeight="1">
      <c r="A582" s="183"/>
      <c r="B582" s="183"/>
      <c r="C582" s="183"/>
      <c r="D582" s="183"/>
      <c r="E582" s="183"/>
      <c r="F582" s="183"/>
      <c r="G582" s="147"/>
      <c r="H582" s="147"/>
      <c r="I582" s="147"/>
      <c r="J582" s="147"/>
      <c r="K582" s="147"/>
      <c r="L582" s="183"/>
      <c r="M582" s="183"/>
      <c r="N582" s="183"/>
      <c r="O582" s="183"/>
      <c r="P582" s="183"/>
    </row>
    <row r="583" spans="1:16" ht="13" customHeight="1">
      <c r="A583" s="183"/>
      <c r="B583" s="183"/>
      <c r="C583" s="183"/>
      <c r="D583" s="183"/>
      <c r="E583" s="183"/>
      <c r="F583" s="183"/>
      <c r="G583" s="147"/>
      <c r="H583" s="147"/>
      <c r="I583" s="147"/>
      <c r="J583" s="147"/>
      <c r="K583" s="147"/>
      <c r="L583" s="183"/>
      <c r="M583" s="183"/>
      <c r="N583" s="183"/>
      <c r="O583" s="183"/>
      <c r="P583" s="183"/>
    </row>
    <row r="584" spans="1:16" ht="13" customHeight="1">
      <c r="A584" s="183"/>
      <c r="B584" s="183"/>
      <c r="C584" s="183"/>
      <c r="D584" s="183"/>
      <c r="E584" s="183"/>
      <c r="F584" s="183"/>
      <c r="G584" s="147"/>
      <c r="H584" s="147"/>
      <c r="I584" s="147"/>
      <c r="J584" s="147"/>
      <c r="K584" s="147"/>
      <c r="L584" s="183"/>
      <c r="M584" s="183"/>
      <c r="N584" s="183"/>
      <c r="O584" s="183"/>
      <c r="P584" s="183"/>
    </row>
    <row r="585" spans="1:16" ht="13" customHeight="1">
      <c r="A585" s="183"/>
      <c r="B585" s="183"/>
      <c r="C585" s="183"/>
      <c r="D585" s="183"/>
      <c r="E585" s="183"/>
      <c r="F585" s="183"/>
      <c r="G585" s="147"/>
      <c r="H585" s="147"/>
      <c r="I585" s="147"/>
      <c r="J585" s="147"/>
      <c r="K585" s="147"/>
      <c r="L585" s="183"/>
      <c r="M585" s="183"/>
      <c r="N585" s="183"/>
      <c r="O585" s="183"/>
      <c r="P585" s="183"/>
    </row>
    <row r="586" spans="1:16" ht="13" customHeight="1">
      <c r="A586" s="183"/>
      <c r="B586" s="183"/>
      <c r="C586" s="183"/>
      <c r="D586" s="183"/>
      <c r="E586" s="183"/>
      <c r="F586" s="183"/>
      <c r="G586" s="147"/>
      <c r="H586" s="147"/>
      <c r="I586" s="147"/>
      <c r="J586" s="147"/>
      <c r="K586" s="147"/>
      <c r="L586" s="183"/>
      <c r="M586" s="183"/>
      <c r="N586" s="183"/>
      <c r="O586" s="183"/>
      <c r="P586" s="183"/>
    </row>
    <row r="587" spans="1:16" ht="13" customHeight="1">
      <c r="A587" s="183"/>
      <c r="B587" s="183"/>
      <c r="C587" s="183"/>
      <c r="D587" s="183"/>
      <c r="E587" s="183"/>
      <c r="F587" s="183"/>
      <c r="G587" s="147"/>
      <c r="H587" s="147"/>
      <c r="I587" s="147"/>
      <c r="J587" s="147"/>
      <c r="K587" s="147"/>
      <c r="L587" s="183"/>
      <c r="M587" s="183"/>
      <c r="N587" s="183"/>
      <c r="O587" s="183"/>
      <c r="P587" s="183"/>
    </row>
    <row r="588" spans="1:16" ht="13" customHeight="1">
      <c r="A588" s="183"/>
      <c r="B588" s="183"/>
      <c r="C588" s="183"/>
      <c r="D588" s="183"/>
      <c r="E588" s="183"/>
      <c r="F588" s="183"/>
      <c r="G588" s="147"/>
      <c r="H588" s="147"/>
      <c r="I588" s="147"/>
      <c r="J588" s="147"/>
      <c r="K588" s="147"/>
      <c r="L588" s="183"/>
      <c r="M588" s="183"/>
      <c r="N588" s="183"/>
      <c r="O588" s="183"/>
      <c r="P588" s="183"/>
    </row>
    <row r="589" spans="1:16" ht="13" customHeight="1">
      <c r="A589" s="183"/>
      <c r="B589" s="183"/>
      <c r="C589" s="183"/>
      <c r="D589" s="183"/>
      <c r="E589" s="183"/>
      <c r="F589" s="183"/>
      <c r="G589" s="147"/>
      <c r="H589" s="147"/>
      <c r="I589" s="147"/>
      <c r="J589" s="147"/>
      <c r="K589" s="147"/>
      <c r="L589" s="183"/>
      <c r="M589" s="183"/>
      <c r="N589" s="183"/>
      <c r="O589" s="183"/>
      <c r="P589" s="183"/>
    </row>
    <row r="590" spans="1:16" ht="13" customHeight="1">
      <c r="A590" s="183"/>
      <c r="B590" s="183"/>
      <c r="C590" s="183"/>
      <c r="D590" s="183"/>
      <c r="E590" s="183"/>
      <c r="F590" s="183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</row>
    <row r="591" spans="1:16" ht="13" customHeight="1">
      <c r="A591" s="183"/>
      <c r="B591" s="183"/>
      <c r="C591" s="183"/>
      <c r="D591" s="183"/>
      <c r="E591" s="183"/>
      <c r="F591" s="183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</row>
    <row r="592" spans="1:16" ht="13" customHeight="1">
      <c r="A592" s="183"/>
      <c r="B592" s="183"/>
      <c r="C592" s="183"/>
      <c r="D592" s="183"/>
      <c r="E592" s="183"/>
      <c r="F592" s="183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</row>
    <row r="593" spans="1:16" ht="13" customHeight="1">
      <c r="A593" s="183"/>
      <c r="B593" s="183"/>
      <c r="C593" s="183"/>
      <c r="D593" s="183"/>
      <c r="E593" s="183"/>
      <c r="F593" s="183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</row>
    <row r="594" spans="1:16" ht="13" customHeight="1">
      <c r="A594" s="183"/>
      <c r="B594" s="183"/>
      <c r="C594" s="183"/>
      <c r="D594" s="183"/>
      <c r="E594" s="183"/>
      <c r="F594" s="183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</row>
    <row r="595" spans="1:16" ht="13" customHeight="1">
      <c r="A595" s="183"/>
      <c r="B595" s="183"/>
      <c r="C595" s="183"/>
      <c r="D595" s="183"/>
      <c r="E595" s="183"/>
      <c r="F595" s="183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</row>
    <row r="596" spans="1:16" ht="13" customHeight="1">
      <c r="A596" s="183"/>
      <c r="B596" s="183"/>
      <c r="C596" s="183"/>
      <c r="D596" s="183"/>
      <c r="E596" s="183"/>
      <c r="F596" s="183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</row>
    <row r="597" spans="1:16" ht="13" customHeight="1">
      <c r="A597" s="183"/>
      <c r="B597" s="183"/>
      <c r="C597" s="183"/>
      <c r="D597" s="183"/>
      <c r="E597" s="183"/>
      <c r="F597" s="183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</row>
    <row r="598" spans="1:16" ht="13" customHeight="1">
      <c r="A598" s="183"/>
      <c r="B598" s="183"/>
      <c r="C598" s="183"/>
      <c r="D598" s="183"/>
      <c r="E598" s="183"/>
      <c r="F598" s="183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</row>
    <row r="599" spans="1:16" ht="13" customHeight="1">
      <c r="A599" s="183"/>
      <c r="B599" s="183"/>
      <c r="C599" s="183"/>
      <c r="D599" s="183"/>
      <c r="E599" s="183"/>
      <c r="F599" s="183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</row>
    <row r="600" spans="1:16" ht="13" customHeight="1">
      <c r="A600" s="183"/>
      <c r="B600" s="183"/>
      <c r="C600" s="183"/>
      <c r="D600" s="183"/>
      <c r="E600" s="183"/>
      <c r="F600" s="183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</row>
    <row r="601" spans="1:16" ht="13" customHeight="1">
      <c r="A601" s="183"/>
      <c r="B601" s="183"/>
      <c r="C601" s="183"/>
      <c r="D601" s="183"/>
      <c r="E601" s="183"/>
      <c r="F601" s="183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</row>
    <row r="602" spans="1:16" ht="13" customHeight="1">
      <c r="A602" s="183"/>
      <c r="B602" s="183"/>
      <c r="C602" s="183"/>
      <c r="D602" s="183"/>
      <c r="E602" s="183"/>
      <c r="F602" s="183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</row>
    <row r="603" spans="1:16" ht="13" customHeight="1">
      <c r="A603" s="183"/>
      <c r="B603" s="183"/>
      <c r="C603" s="183"/>
      <c r="D603" s="183"/>
      <c r="E603" s="183"/>
      <c r="F603" s="183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</row>
    <row r="604" spans="1:16" ht="13" customHeight="1">
      <c r="A604" s="183"/>
      <c r="B604" s="183"/>
      <c r="C604" s="183"/>
      <c r="D604" s="183"/>
      <c r="E604" s="183"/>
      <c r="F604" s="183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</row>
    <row r="605" spans="1:16" ht="13" customHeight="1">
      <c r="A605" s="183"/>
      <c r="B605" s="183"/>
      <c r="C605" s="183"/>
      <c r="D605" s="183"/>
      <c r="E605" s="183"/>
      <c r="F605" s="183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</row>
    <row r="606" spans="1:16" ht="13" customHeight="1">
      <c r="A606" s="183"/>
      <c r="B606" s="183"/>
      <c r="C606" s="183"/>
      <c r="D606" s="183"/>
      <c r="E606" s="183"/>
      <c r="F606" s="183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</row>
    <row r="607" spans="1:16" ht="13" customHeight="1">
      <c r="A607" s="183"/>
      <c r="B607" s="183"/>
      <c r="C607" s="183"/>
      <c r="D607" s="183"/>
      <c r="E607" s="183"/>
      <c r="F607" s="183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</row>
    <row r="608" spans="1:16" ht="13" customHeight="1">
      <c r="A608" s="183"/>
      <c r="B608" s="183"/>
      <c r="C608" s="183"/>
      <c r="D608" s="183"/>
      <c r="E608" s="183"/>
      <c r="F608" s="183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</row>
    <row r="609" spans="1:16" ht="13" customHeight="1">
      <c r="A609" s="183"/>
      <c r="B609" s="183"/>
      <c r="C609" s="183"/>
      <c r="D609" s="183"/>
      <c r="E609" s="183"/>
      <c r="F609" s="183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</row>
    <row r="610" spans="1:16" ht="13" customHeight="1">
      <c r="A610" s="183"/>
      <c r="B610" s="183"/>
      <c r="C610" s="183"/>
      <c r="D610" s="183"/>
      <c r="E610" s="183"/>
      <c r="F610" s="183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</row>
    <row r="611" spans="1:16" ht="13" customHeight="1">
      <c r="A611" s="183"/>
      <c r="B611" s="183"/>
      <c r="C611" s="183"/>
      <c r="D611" s="183"/>
      <c r="E611" s="183"/>
      <c r="F611" s="183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</row>
    <row r="612" spans="1:16" ht="13" customHeight="1">
      <c r="A612" s="183"/>
      <c r="B612" s="183"/>
      <c r="C612" s="183"/>
      <c r="D612" s="183"/>
      <c r="E612" s="183"/>
      <c r="F612" s="183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</row>
    <row r="613" spans="1:16" ht="13" customHeight="1">
      <c r="A613" s="183"/>
      <c r="B613" s="183"/>
      <c r="C613" s="183"/>
      <c r="D613" s="183"/>
      <c r="E613" s="183"/>
      <c r="F613" s="183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</row>
    <row r="614" spans="1:16" ht="13" customHeight="1">
      <c r="A614" s="183"/>
      <c r="B614" s="183"/>
      <c r="C614" s="183"/>
      <c r="D614" s="183"/>
      <c r="E614" s="183"/>
      <c r="F614" s="183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</row>
    <row r="615" spans="1:16" ht="13" customHeight="1">
      <c r="A615" s="183"/>
      <c r="B615" s="183"/>
      <c r="C615" s="183"/>
      <c r="D615" s="183"/>
      <c r="E615" s="183"/>
      <c r="F615" s="183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</row>
    <row r="616" spans="1:16" ht="13" customHeight="1">
      <c r="A616" s="183"/>
      <c r="B616" s="183"/>
      <c r="C616" s="183"/>
      <c r="D616" s="183"/>
      <c r="E616" s="183"/>
      <c r="F616" s="183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</row>
    <row r="617" spans="1:16" ht="13" customHeight="1">
      <c r="A617" s="183"/>
      <c r="B617" s="183"/>
      <c r="C617" s="183"/>
      <c r="D617" s="183"/>
      <c r="E617" s="183"/>
      <c r="F617" s="183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</row>
    <row r="618" spans="1:16" ht="13" customHeight="1">
      <c r="A618" s="183"/>
      <c r="B618" s="183"/>
      <c r="C618" s="183"/>
      <c r="D618" s="183"/>
      <c r="E618" s="183"/>
      <c r="F618" s="183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</row>
    <row r="619" spans="1:16" ht="13" customHeight="1">
      <c r="A619" s="183"/>
      <c r="B619" s="183"/>
      <c r="C619" s="183"/>
      <c r="D619" s="183"/>
      <c r="E619" s="183"/>
      <c r="F619" s="183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</row>
    <row r="620" spans="1:16" ht="13" customHeight="1">
      <c r="A620" s="183"/>
      <c r="B620" s="183"/>
      <c r="C620" s="183"/>
      <c r="D620" s="183"/>
      <c r="E620" s="183"/>
      <c r="F620" s="183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</row>
    <row r="621" spans="1:16" ht="13" customHeight="1">
      <c r="A621" s="183"/>
      <c r="B621" s="183"/>
      <c r="C621" s="183"/>
      <c r="D621" s="183"/>
      <c r="E621" s="183"/>
      <c r="F621" s="183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</row>
    <row r="622" spans="1:16" ht="13" customHeight="1">
      <c r="A622" s="183"/>
      <c r="B622" s="183"/>
      <c r="C622" s="183"/>
      <c r="D622" s="183"/>
      <c r="E622" s="183"/>
      <c r="F622" s="183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</row>
    <row r="623" spans="1:16" ht="13" customHeight="1">
      <c r="A623" s="183"/>
      <c r="B623" s="183"/>
      <c r="C623" s="183"/>
      <c r="D623" s="183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</row>
    <row r="624" spans="1:16" ht="13" customHeight="1">
      <c r="A624" s="183"/>
      <c r="B624" s="183"/>
      <c r="C624" s="183"/>
      <c r="D624" s="183"/>
      <c r="E624" s="183"/>
      <c r="F624" s="183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</row>
    <row r="625" spans="1:16" ht="13" customHeight="1">
      <c r="A625" s="183"/>
      <c r="B625" s="183"/>
      <c r="C625" s="183"/>
      <c r="D625" s="183"/>
      <c r="E625" s="183"/>
      <c r="F625" s="183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</row>
    <row r="626" spans="1:16" ht="13" customHeight="1">
      <c r="A626" s="183"/>
      <c r="B626" s="183"/>
      <c r="C626" s="183"/>
      <c r="D626" s="183"/>
      <c r="E626" s="183"/>
      <c r="F626" s="183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</row>
    <row r="627" spans="1:16" ht="13" customHeight="1">
      <c r="A627" s="183"/>
      <c r="B627" s="183"/>
      <c r="C627" s="183"/>
      <c r="D627" s="183"/>
      <c r="E627" s="183"/>
      <c r="F627" s="183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</row>
    <row r="628" spans="1:16" ht="13" customHeight="1">
      <c r="A628" s="183"/>
      <c r="B628" s="183"/>
      <c r="C628" s="183"/>
      <c r="D628" s="183"/>
      <c r="E628" s="183"/>
      <c r="F628" s="183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</row>
    <row r="629" spans="1:16" ht="13" customHeight="1">
      <c r="A629" s="183"/>
      <c r="B629" s="183"/>
      <c r="C629" s="183"/>
      <c r="D629" s="183"/>
      <c r="E629" s="183"/>
      <c r="F629" s="183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</row>
    <row r="630" spans="1:16" ht="13" customHeight="1">
      <c r="A630" s="183"/>
      <c r="B630" s="183"/>
      <c r="C630" s="183"/>
      <c r="D630" s="183"/>
      <c r="E630" s="183"/>
      <c r="F630" s="183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</row>
    <row r="631" spans="1:16" ht="13" customHeight="1">
      <c r="A631" s="183"/>
      <c r="B631" s="183"/>
      <c r="C631" s="183"/>
      <c r="D631" s="183"/>
      <c r="E631" s="183"/>
      <c r="F631" s="183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</row>
    <row r="632" spans="1:16" ht="13" customHeight="1">
      <c r="A632" s="183"/>
      <c r="B632" s="183"/>
      <c r="C632" s="183"/>
      <c r="D632" s="183"/>
      <c r="E632" s="183"/>
      <c r="F632" s="183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</row>
    <row r="633" spans="1:16" ht="13" customHeight="1">
      <c r="A633" s="183"/>
      <c r="B633" s="183"/>
      <c r="C633" s="183"/>
      <c r="D633" s="183"/>
      <c r="E633" s="183"/>
      <c r="F633" s="183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</row>
    <row r="634" spans="1:16" ht="13" customHeight="1">
      <c r="A634" s="183"/>
      <c r="B634" s="183"/>
      <c r="C634" s="183"/>
      <c r="D634" s="183"/>
      <c r="E634" s="183"/>
      <c r="F634" s="183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</row>
    <row r="635" spans="1:16" ht="13" customHeight="1">
      <c r="A635" s="183"/>
      <c r="B635" s="183"/>
      <c r="C635" s="183"/>
      <c r="D635" s="183"/>
      <c r="E635" s="183"/>
      <c r="F635" s="183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</row>
    <row r="636" spans="1:16" ht="13" customHeight="1">
      <c r="A636" s="183"/>
      <c r="B636" s="183"/>
      <c r="C636" s="183"/>
      <c r="D636" s="183"/>
      <c r="E636" s="183"/>
      <c r="F636" s="183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</row>
    <row r="637" spans="1:16" ht="13" customHeight="1">
      <c r="A637" s="183"/>
      <c r="B637" s="183"/>
      <c r="C637" s="183"/>
      <c r="D637" s="183"/>
      <c r="E637" s="183"/>
      <c r="F637" s="183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</row>
    <row r="638" spans="1:16" ht="13" customHeight="1">
      <c r="A638" s="183"/>
      <c r="B638" s="183"/>
      <c r="C638" s="183"/>
      <c r="D638" s="183"/>
      <c r="E638" s="183"/>
      <c r="F638" s="183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</row>
    <row r="639" spans="1:16" ht="13" customHeight="1">
      <c r="A639" s="183"/>
      <c r="B639" s="183"/>
      <c r="C639" s="183"/>
      <c r="D639" s="183"/>
      <c r="E639" s="183"/>
      <c r="F639" s="183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</row>
    <row r="640" spans="1:16" ht="13" customHeight="1">
      <c r="A640" s="183"/>
      <c r="B640" s="183"/>
      <c r="C640" s="183"/>
      <c r="D640" s="183"/>
      <c r="E640" s="183"/>
      <c r="F640" s="183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</row>
    <row r="641" spans="1:16" ht="13" customHeight="1">
      <c r="A641" s="183"/>
      <c r="B641" s="183"/>
      <c r="C641" s="183"/>
      <c r="D641" s="183"/>
      <c r="E641" s="183"/>
      <c r="F641" s="183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</row>
    <row r="642" spans="1:16" ht="13" customHeight="1">
      <c r="A642" s="183"/>
      <c r="B642" s="183"/>
      <c r="C642" s="183"/>
      <c r="D642" s="183"/>
      <c r="E642" s="183"/>
      <c r="F642" s="183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</row>
    <row r="643" spans="1:16" ht="13" customHeight="1">
      <c r="A643" s="183"/>
      <c r="B643" s="183"/>
      <c r="C643" s="183"/>
      <c r="D643" s="183"/>
      <c r="E643" s="183"/>
      <c r="F643" s="183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</row>
    <row r="644" spans="1:16" ht="13" customHeight="1">
      <c r="A644" s="183"/>
      <c r="B644" s="183"/>
      <c r="C644" s="183"/>
      <c r="D644" s="183"/>
      <c r="E644" s="183"/>
      <c r="F644" s="183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</row>
    <row r="645" spans="1:16" ht="13" customHeight="1">
      <c r="A645" s="183"/>
      <c r="B645" s="183"/>
      <c r="C645" s="183"/>
      <c r="D645" s="183"/>
      <c r="E645" s="183"/>
      <c r="F645" s="183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</row>
    <row r="646" spans="1:16" ht="13" customHeight="1">
      <c r="A646" s="183"/>
      <c r="B646" s="183"/>
      <c r="C646" s="183"/>
      <c r="D646" s="183"/>
      <c r="E646" s="183"/>
      <c r="F646" s="183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</row>
    <row r="647" spans="1:16" ht="13" customHeight="1">
      <c r="A647" s="183"/>
      <c r="B647" s="183"/>
      <c r="C647" s="183"/>
      <c r="D647" s="183"/>
      <c r="E647" s="183"/>
      <c r="F647" s="183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</row>
    <row r="648" spans="1:16" ht="13" customHeight="1">
      <c r="A648" s="183"/>
      <c r="B648" s="183"/>
      <c r="C648" s="183"/>
      <c r="D648" s="183"/>
      <c r="E648" s="183"/>
      <c r="F648" s="183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</row>
    <row r="649" spans="1:16" ht="13" customHeight="1">
      <c r="A649" s="183"/>
      <c r="B649" s="183"/>
      <c r="C649" s="183"/>
      <c r="D649" s="183"/>
      <c r="E649" s="183"/>
      <c r="F649" s="183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</row>
    <row r="650" spans="1:16" ht="13" customHeight="1">
      <c r="A650" s="183"/>
      <c r="B650" s="183"/>
      <c r="C650" s="183"/>
      <c r="D650" s="183"/>
      <c r="E650" s="183"/>
      <c r="F650" s="183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</row>
    <row r="651" spans="1:16" ht="13" customHeight="1">
      <c r="A651" s="183"/>
      <c r="B651" s="183"/>
      <c r="C651" s="183"/>
      <c r="D651" s="183"/>
      <c r="E651" s="183"/>
      <c r="F651" s="183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</row>
    <row r="652" spans="1:16" ht="13" customHeight="1">
      <c r="A652" s="183"/>
      <c r="B652" s="183"/>
      <c r="C652" s="183"/>
      <c r="D652" s="183"/>
      <c r="E652" s="183"/>
      <c r="F652" s="183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</row>
    <row r="653" spans="1:16" ht="13" customHeight="1">
      <c r="A653" s="183"/>
      <c r="B653" s="183"/>
      <c r="C653" s="183"/>
      <c r="D653" s="183"/>
      <c r="E653" s="183"/>
      <c r="F653" s="183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</row>
    <row r="654" spans="1:16" ht="13" customHeight="1">
      <c r="A654" s="183"/>
      <c r="B654" s="183"/>
      <c r="C654" s="183"/>
      <c r="D654" s="183"/>
      <c r="E654" s="183"/>
      <c r="F654" s="183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</row>
    <row r="655" spans="1:16" ht="13" customHeight="1">
      <c r="A655" s="183"/>
      <c r="B655" s="183"/>
      <c r="C655" s="183"/>
      <c r="D655" s="183"/>
      <c r="E655" s="183"/>
      <c r="F655" s="183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</row>
    <row r="656" spans="1:16" ht="13" customHeight="1">
      <c r="A656" s="183"/>
      <c r="B656" s="183"/>
      <c r="C656" s="183"/>
      <c r="D656" s="183"/>
      <c r="E656" s="183"/>
      <c r="F656" s="183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</row>
    <row r="657" spans="1:16" ht="13" customHeight="1">
      <c r="A657" s="183"/>
      <c r="B657" s="183"/>
      <c r="C657" s="183"/>
      <c r="D657" s="183"/>
      <c r="E657" s="183"/>
      <c r="F657" s="183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</row>
    <row r="658" spans="1:16" ht="13" customHeight="1">
      <c r="A658" s="183"/>
      <c r="B658" s="183"/>
      <c r="C658" s="183"/>
      <c r="D658" s="183"/>
      <c r="E658" s="183"/>
      <c r="F658" s="183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</row>
    <row r="659" spans="1:16" ht="13" customHeight="1">
      <c r="A659" s="183"/>
      <c r="B659" s="183"/>
      <c r="C659" s="183"/>
      <c r="D659" s="183"/>
      <c r="E659" s="183"/>
      <c r="F659" s="183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</row>
    <row r="660" spans="1:16" ht="13" customHeight="1">
      <c r="A660" s="183"/>
      <c r="B660" s="183"/>
      <c r="C660" s="183"/>
      <c r="D660" s="183"/>
      <c r="E660" s="183"/>
      <c r="F660" s="183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</row>
    <row r="661" spans="1:16" ht="13" customHeight="1">
      <c r="A661" s="183"/>
      <c r="B661" s="183"/>
      <c r="C661" s="183"/>
      <c r="D661" s="183"/>
      <c r="E661" s="183"/>
      <c r="F661" s="183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</row>
    <row r="662" spans="1:16" ht="13" customHeight="1">
      <c r="A662" s="183"/>
      <c r="B662" s="183"/>
      <c r="C662" s="183"/>
      <c r="D662" s="183"/>
      <c r="E662" s="183"/>
      <c r="F662" s="183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</row>
    <row r="663" spans="1:16" ht="13" customHeight="1">
      <c r="A663" s="183"/>
      <c r="B663" s="183"/>
      <c r="C663" s="183"/>
      <c r="D663" s="183"/>
      <c r="E663" s="183"/>
      <c r="F663" s="183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</row>
    <row r="664" spans="1:16" ht="13" customHeight="1">
      <c r="A664" s="183"/>
      <c r="B664" s="183"/>
      <c r="C664" s="183"/>
      <c r="D664" s="183"/>
      <c r="E664" s="183"/>
      <c r="F664" s="183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</row>
    <row r="665" spans="1:16" ht="13" customHeight="1">
      <c r="A665" s="183"/>
      <c r="B665" s="183"/>
      <c r="C665" s="183"/>
      <c r="D665" s="183"/>
      <c r="E665" s="183"/>
      <c r="F665" s="183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</row>
    <row r="666" spans="1:16" ht="13" customHeight="1">
      <c r="A666" s="183"/>
      <c r="B666" s="183"/>
      <c r="C666" s="183"/>
      <c r="D666" s="183"/>
      <c r="E666" s="183"/>
      <c r="F666" s="183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</row>
    <row r="667" spans="1:16" ht="13" customHeight="1">
      <c r="A667" s="183"/>
      <c r="B667" s="183"/>
      <c r="C667" s="183"/>
      <c r="D667" s="183"/>
      <c r="E667" s="183"/>
      <c r="F667" s="183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</row>
    <row r="668" spans="1:16" ht="13" customHeight="1">
      <c r="A668" s="183"/>
      <c r="B668" s="183"/>
      <c r="C668" s="183"/>
      <c r="D668" s="183"/>
      <c r="E668" s="183"/>
      <c r="F668" s="183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</row>
    <row r="669" spans="1:16" ht="13" customHeight="1">
      <c r="A669" s="183"/>
      <c r="B669" s="183"/>
      <c r="C669" s="183"/>
      <c r="D669" s="183"/>
      <c r="E669" s="183"/>
      <c r="F669" s="183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</row>
    <row r="670" spans="1:16" ht="13" customHeight="1">
      <c r="A670" s="183"/>
      <c r="B670" s="183"/>
      <c r="C670" s="183"/>
      <c r="D670" s="183"/>
      <c r="E670" s="183"/>
      <c r="F670" s="183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</row>
    <row r="671" spans="1:16" ht="13" customHeight="1">
      <c r="A671" s="183"/>
      <c r="B671" s="183"/>
      <c r="C671" s="183"/>
      <c r="D671" s="183"/>
      <c r="E671" s="183"/>
      <c r="F671" s="183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</row>
    <row r="672" spans="1:16" ht="13" customHeight="1">
      <c r="A672" s="183"/>
      <c r="B672" s="183"/>
      <c r="C672" s="183"/>
      <c r="D672" s="183"/>
      <c r="E672" s="183"/>
      <c r="F672" s="183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</row>
    <row r="673" spans="1:16" ht="13" customHeight="1">
      <c r="A673" s="183"/>
      <c r="B673" s="183"/>
      <c r="C673" s="183"/>
      <c r="D673" s="183"/>
      <c r="E673" s="183"/>
      <c r="F673" s="183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</row>
    <row r="674" spans="1:16" ht="13" customHeight="1">
      <c r="A674" s="183"/>
      <c r="B674" s="183"/>
      <c r="C674" s="183"/>
      <c r="D674" s="183"/>
      <c r="E674" s="183"/>
      <c r="F674" s="183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</row>
    <row r="675" spans="1:16" ht="13" customHeight="1">
      <c r="A675" s="183"/>
      <c r="B675" s="183"/>
      <c r="C675" s="183"/>
      <c r="D675" s="183"/>
      <c r="E675" s="183"/>
      <c r="F675" s="183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</row>
    <row r="676" spans="1:16" ht="13" customHeight="1">
      <c r="A676" s="183"/>
      <c r="B676" s="183"/>
      <c r="C676" s="183"/>
      <c r="D676" s="183"/>
      <c r="E676" s="183"/>
      <c r="F676" s="183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</row>
    <row r="677" spans="1:16" ht="13" customHeight="1">
      <c r="A677" s="183"/>
      <c r="B677" s="183"/>
      <c r="C677" s="183"/>
      <c r="D677" s="183"/>
      <c r="E677" s="183"/>
      <c r="F677" s="183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</row>
    <row r="678" spans="1:16" ht="13" customHeight="1">
      <c r="A678" s="183"/>
      <c r="B678" s="183"/>
      <c r="C678" s="183"/>
      <c r="D678" s="183"/>
      <c r="E678" s="183"/>
      <c r="F678" s="183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</row>
    <row r="679" spans="1:16" ht="13" customHeight="1">
      <c r="A679" s="183"/>
      <c r="B679" s="183"/>
      <c r="C679" s="183"/>
      <c r="D679" s="183"/>
      <c r="E679" s="183"/>
      <c r="F679" s="183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</row>
    <row r="680" spans="1:16" ht="13" customHeight="1">
      <c r="A680" s="183"/>
      <c r="B680" s="183"/>
      <c r="C680" s="183"/>
      <c r="D680" s="183"/>
      <c r="E680" s="183"/>
      <c r="F680" s="183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</row>
    <row r="681" spans="1:16" ht="13" customHeight="1">
      <c r="A681" s="183"/>
      <c r="B681" s="183"/>
      <c r="C681" s="183"/>
      <c r="D681" s="183"/>
      <c r="E681" s="183"/>
      <c r="F681" s="183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</row>
    <row r="682" spans="1:16" ht="13" customHeight="1">
      <c r="A682" s="183"/>
      <c r="B682" s="183"/>
      <c r="C682" s="183"/>
      <c r="D682" s="183"/>
      <c r="E682" s="183"/>
      <c r="F682" s="183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</row>
    <row r="683" spans="1:16" ht="13" customHeight="1">
      <c r="A683" s="183"/>
      <c r="B683" s="183"/>
      <c r="C683" s="183"/>
      <c r="D683" s="183"/>
      <c r="E683" s="183"/>
      <c r="F683" s="183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</row>
    <row r="684" spans="1:16" ht="13" customHeight="1">
      <c r="A684" s="183"/>
      <c r="B684" s="183"/>
      <c r="C684" s="183"/>
      <c r="D684" s="183"/>
      <c r="E684" s="183"/>
      <c r="F684" s="183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</row>
    <row r="685" spans="1:16" ht="13" customHeight="1">
      <c r="A685" s="183"/>
      <c r="B685" s="183"/>
      <c r="C685" s="183"/>
      <c r="D685" s="183"/>
      <c r="E685" s="183"/>
      <c r="F685" s="183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</row>
    <row r="686" spans="1:16" ht="13" customHeight="1">
      <c r="A686" s="183"/>
      <c r="B686" s="183"/>
      <c r="C686" s="183"/>
      <c r="D686" s="183"/>
      <c r="E686" s="183"/>
      <c r="F686" s="183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</row>
    <row r="687" spans="1:16" ht="13" customHeight="1">
      <c r="A687" s="183"/>
      <c r="B687" s="183"/>
      <c r="C687" s="183"/>
      <c r="D687" s="183"/>
      <c r="E687" s="183"/>
      <c r="F687" s="183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</row>
    <row r="688" spans="1:16" ht="13" customHeight="1">
      <c r="A688" s="183"/>
      <c r="B688" s="183"/>
      <c r="C688" s="183"/>
      <c r="D688" s="183"/>
      <c r="E688" s="183"/>
      <c r="F688" s="183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</row>
    <row r="689" spans="1:16" ht="13" customHeight="1">
      <c r="A689" s="183"/>
      <c r="B689" s="183"/>
      <c r="C689" s="183"/>
      <c r="D689" s="183"/>
      <c r="E689" s="183"/>
      <c r="F689" s="183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</row>
    <row r="690" spans="1:16" ht="13" customHeight="1">
      <c r="A690" s="183"/>
      <c r="B690" s="183"/>
      <c r="C690" s="183"/>
      <c r="D690" s="183"/>
      <c r="E690" s="183"/>
      <c r="F690" s="183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</row>
    <row r="691" spans="1:16" ht="13" customHeight="1">
      <c r="A691" s="183"/>
      <c r="B691" s="183"/>
      <c r="C691" s="183"/>
      <c r="D691" s="183"/>
      <c r="E691" s="183"/>
      <c r="F691" s="183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</row>
    <row r="692" spans="1:16" ht="13" customHeight="1">
      <c r="A692" s="183"/>
      <c r="B692" s="183"/>
      <c r="C692" s="183"/>
      <c r="D692" s="183"/>
      <c r="E692" s="183"/>
      <c r="F692" s="183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</row>
    <row r="693" spans="1:16" ht="13" customHeight="1">
      <c r="A693" s="183"/>
      <c r="B693" s="183"/>
      <c r="C693" s="183"/>
      <c r="D693" s="183"/>
      <c r="E693" s="183"/>
      <c r="F693" s="183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</row>
    <row r="694" spans="1:16" ht="13" customHeight="1">
      <c r="A694" s="183"/>
      <c r="B694" s="183"/>
      <c r="C694" s="183"/>
      <c r="D694" s="183"/>
      <c r="E694" s="183"/>
      <c r="F694" s="183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</row>
    <row r="695" spans="1:16" ht="13" customHeight="1">
      <c r="A695" s="183"/>
      <c r="B695" s="183"/>
      <c r="C695" s="183"/>
      <c r="D695" s="183"/>
      <c r="E695" s="183"/>
      <c r="F695" s="183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</row>
    <row r="696" spans="1:16" ht="13" customHeight="1">
      <c r="A696" s="183"/>
      <c r="B696" s="183"/>
      <c r="C696" s="183"/>
      <c r="D696" s="183"/>
      <c r="E696" s="183"/>
      <c r="F696" s="183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</row>
    <row r="697" spans="1:16" ht="13" customHeight="1">
      <c r="A697" s="183"/>
      <c r="B697" s="183"/>
      <c r="C697" s="183"/>
      <c r="D697" s="183"/>
      <c r="E697" s="183"/>
      <c r="F697" s="183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</row>
    <row r="698" spans="1:16" ht="13" customHeight="1">
      <c r="A698" s="183"/>
      <c r="B698" s="183"/>
      <c r="C698" s="183"/>
      <c r="D698" s="183"/>
      <c r="E698" s="183"/>
      <c r="F698" s="183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</row>
    <row r="699" spans="1:16" ht="13" customHeight="1">
      <c r="A699" s="183"/>
      <c r="B699" s="183"/>
      <c r="C699" s="183"/>
      <c r="D699" s="183"/>
      <c r="E699" s="183"/>
      <c r="F699" s="183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</row>
    <row r="700" spans="1:16" ht="13" customHeight="1">
      <c r="A700" s="183"/>
      <c r="B700" s="183"/>
      <c r="C700" s="183"/>
      <c r="D700" s="183"/>
      <c r="E700" s="183"/>
      <c r="F700" s="183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</row>
    <row r="701" spans="1:16" ht="13" customHeight="1">
      <c r="A701" s="183"/>
      <c r="B701" s="183"/>
      <c r="C701" s="183"/>
      <c r="D701" s="183"/>
      <c r="E701" s="183"/>
      <c r="F701" s="183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</row>
    <row r="702" spans="1:16" ht="13" customHeight="1">
      <c r="A702" s="183"/>
      <c r="B702" s="183"/>
      <c r="C702" s="183"/>
      <c r="D702" s="183"/>
      <c r="E702" s="183"/>
      <c r="F702" s="183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</row>
    <row r="703" spans="1:16" ht="13" customHeight="1">
      <c r="A703" s="183"/>
      <c r="B703" s="183"/>
      <c r="C703" s="183"/>
      <c r="D703" s="183"/>
      <c r="E703" s="183"/>
      <c r="F703" s="183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</row>
    <row r="704" spans="1:16" ht="13" customHeight="1">
      <c r="A704" s="183"/>
      <c r="B704" s="183"/>
      <c r="C704" s="183"/>
      <c r="D704" s="183"/>
      <c r="E704" s="183"/>
      <c r="F704" s="183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</row>
    <row r="705" spans="1:16" ht="13" customHeight="1">
      <c r="A705" s="183"/>
      <c r="B705" s="183"/>
      <c r="C705" s="183"/>
      <c r="D705" s="183"/>
      <c r="E705" s="183"/>
      <c r="F705" s="183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</row>
    <row r="706" spans="1:16" ht="13" customHeight="1">
      <c r="A706" s="183"/>
      <c r="B706" s="183"/>
      <c r="C706" s="183"/>
      <c r="D706" s="183"/>
      <c r="E706" s="183"/>
      <c r="F706" s="183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</row>
    <row r="707" spans="1:16" ht="13" customHeight="1">
      <c r="A707" s="183"/>
      <c r="B707" s="183"/>
      <c r="C707" s="183"/>
      <c r="D707" s="183"/>
      <c r="E707" s="183"/>
      <c r="F707" s="183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</row>
    <row r="708" spans="1:16" ht="13" customHeight="1">
      <c r="A708" s="183"/>
      <c r="B708" s="183"/>
      <c r="C708" s="183"/>
      <c r="D708" s="183"/>
      <c r="E708" s="183"/>
      <c r="F708" s="183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</row>
    <row r="709" spans="1:16" ht="13" customHeight="1">
      <c r="A709" s="183"/>
      <c r="B709" s="183"/>
      <c r="C709" s="183"/>
      <c r="D709" s="183"/>
      <c r="E709" s="183"/>
      <c r="F709" s="183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</row>
    <row r="710" spans="1:16" ht="13" customHeight="1">
      <c r="A710" s="183"/>
      <c r="B710" s="183"/>
      <c r="C710" s="183"/>
      <c r="D710" s="183"/>
      <c r="E710" s="183"/>
      <c r="F710" s="183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</row>
    <row r="711" spans="1:16" ht="13" customHeight="1">
      <c r="A711" s="183"/>
      <c r="B711" s="183"/>
      <c r="C711" s="183"/>
      <c r="D711" s="183"/>
      <c r="E711" s="183"/>
      <c r="F711" s="183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</row>
    <row r="712" spans="1:16" ht="13" customHeight="1">
      <c r="A712" s="183"/>
      <c r="B712" s="183"/>
      <c r="C712" s="183"/>
      <c r="D712" s="183"/>
      <c r="E712" s="183"/>
      <c r="F712" s="183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</row>
    <row r="713" spans="1:16" ht="13" customHeight="1">
      <c r="A713" s="183"/>
      <c r="B713" s="183"/>
      <c r="C713" s="183"/>
      <c r="D713" s="183"/>
      <c r="E713" s="183"/>
      <c r="F713" s="183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</row>
    <row r="714" spans="1:16" ht="13" customHeight="1">
      <c r="A714" s="183"/>
      <c r="B714" s="183"/>
      <c r="C714" s="183"/>
      <c r="D714" s="183"/>
      <c r="E714" s="183"/>
      <c r="F714" s="183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</row>
    <row r="715" spans="1:16" ht="13" customHeight="1">
      <c r="A715" s="183"/>
      <c r="B715" s="183"/>
      <c r="C715" s="183"/>
      <c r="D715" s="183"/>
      <c r="E715" s="183"/>
      <c r="F715" s="183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</row>
    <row r="716" spans="1:16" ht="13" customHeight="1">
      <c r="A716" s="183"/>
      <c r="B716" s="183"/>
      <c r="C716" s="183"/>
      <c r="D716" s="183"/>
      <c r="E716" s="183"/>
      <c r="F716" s="183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</row>
    <row r="717" spans="1:16" ht="13" customHeight="1">
      <c r="A717" s="183"/>
      <c r="B717" s="183"/>
      <c r="C717" s="183"/>
      <c r="D717" s="183"/>
      <c r="E717" s="183"/>
      <c r="F717" s="183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</row>
    <row r="718" spans="1:16" ht="13" customHeight="1">
      <c r="A718" s="183"/>
      <c r="B718" s="183"/>
      <c r="C718" s="183"/>
      <c r="D718" s="183"/>
      <c r="E718" s="183"/>
      <c r="F718" s="183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</row>
    <row r="719" spans="1:16" ht="13" customHeight="1">
      <c r="A719" s="183"/>
      <c r="B719" s="183"/>
      <c r="C719" s="183"/>
      <c r="D719" s="183"/>
      <c r="E719" s="183"/>
      <c r="F719" s="183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</row>
    <row r="720" spans="1:16" ht="13" customHeight="1">
      <c r="A720" s="183"/>
      <c r="B720" s="183"/>
      <c r="C720" s="183"/>
      <c r="D720" s="183"/>
      <c r="E720" s="183"/>
      <c r="F720" s="183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</row>
    <row r="721" spans="1:16" ht="13" customHeight="1">
      <c r="A721" s="183"/>
      <c r="B721" s="183"/>
      <c r="C721" s="183"/>
      <c r="D721" s="183"/>
      <c r="E721" s="183"/>
      <c r="F721" s="183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</row>
    <row r="722" spans="1:16" ht="13" customHeight="1">
      <c r="A722" s="183"/>
      <c r="B722" s="183"/>
      <c r="C722" s="183"/>
      <c r="D722" s="183"/>
      <c r="E722" s="183"/>
      <c r="F722" s="183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</row>
    <row r="723" spans="1:16" ht="13" customHeight="1">
      <c r="A723" s="183"/>
      <c r="B723" s="183"/>
      <c r="C723" s="183"/>
      <c r="D723" s="183"/>
      <c r="E723" s="183"/>
      <c r="F723" s="183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</row>
    <row r="724" spans="1:16" ht="13" customHeight="1">
      <c r="A724" s="183"/>
      <c r="B724" s="183"/>
      <c r="C724" s="183"/>
      <c r="D724" s="183"/>
      <c r="E724" s="183"/>
      <c r="F724" s="183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</row>
    <row r="725" spans="1:16" ht="13" customHeight="1">
      <c r="A725" s="183"/>
      <c r="B725" s="183"/>
      <c r="C725" s="183"/>
      <c r="D725" s="183"/>
      <c r="E725" s="183"/>
      <c r="F725" s="183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</row>
    <row r="726" spans="1:16" ht="13" customHeight="1">
      <c r="A726" s="183"/>
      <c r="B726" s="183"/>
      <c r="C726" s="183"/>
      <c r="D726" s="183"/>
      <c r="E726" s="183"/>
      <c r="F726" s="183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</row>
    <row r="727" spans="1:16" ht="13" customHeight="1">
      <c r="A727" s="183"/>
      <c r="B727" s="183"/>
      <c r="C727" s="183"/>
      <c r="D727" s="183"/>
      <c r="E727" s="183"/>
      <c r="F727" s="183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</row>
    <row r="728" spans="1:16" ht="13" customHeight="1">
      <c r="A728" s="183"/>
      <c r="B728" s="183"/>
      <c r="C728" s="183"/>
      <c r="D728" s="183"/>
      <c r="E728" s="183"/>
      <c r="F728" s="183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</row>
    <row r="729" spans="1:16" ht="13" customHeight="1">
      <c r="A729" s="183"/>
      <c r="B729" s="183"/>
      <c r="C729" s="183"/>
      <c r="D729" s="183"/>
      <c r="E729" s="183"/>
      <c r="F729" s="183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</row>
    <row r="730" spans="1:16" ht="13" customHeight="1">
      <c r="A730" s="183"/>
      <c r="B730" s="183"/>
      <c r="C730" s="183"/>
      <c r="D730" s="183"/>
      <c r="E730" s="183"/>
      <c r="F730" s="183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</row>
    <row r="731" spans="1:16" ht="13" customHeight="1">
      <c r="A731" s="183"/>
      <c r="B731" s="183"/>
      <c r="C731" s="183"/>
      <c r="D731" s="183"/>
      <c r="E731" s="183"/>
      <c r="F731" s="183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</row>
    <row r="732" spans="1:16" ht="13" customHeight="1">
      <c r="A732" s="183"/>
      <c r="B732" s="183"/>
      <c r="C732" s="183"/>
      <c r="D732" s="183"/>
      <c r="E732" s="183"/>
      <c r="F732" s="183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</row>
    <row r="733" spans="1:16" ht="13" customHeight="1">
      <c r="A733" s="183"/>
      <c r="B733" s="183"/>
      <c r="C733" s="183"/>
      <c r="D733" s="183"/>
      <c r="E733" s="183"/>
      <c r="F733" s="183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</row>
    <row r="734" spans="1:16" ht="13" customHeight="1">
      <c r="A734" s="183"/>
      <c r="B734" s="183"/>
      <c r="C734" s="183"/>
      <c r="D734" s="183"/>
      <c r="E734" s="183"/>
      <c r="F734" s="183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</row>
    <row r="735" spans="1:16" ht="13" customHeight="1">
      <c r="A735" s="183"/>
      <c r="B735" s="183"/>
      <c r="C735" s="183"/>
      <c r="D735" s="183"/>
      <c r="E735" s="183"/>
      <c r="F735" s="183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</row>
    <row r="736" spans="1:16" ht="13" customHeight="1">
      <c r="A736" s="183"/>
      <c r="B736" s="183"/>
      <c r="C736" s="183"/>
      <c r="D736" s="183"/>
      <c r="E736" s="183"/>
      <c r="F736" s="183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</row>
    <row r="737" spans="1:16" ht="13" customHeight="1">
      <c r="A737" s="183"/>
      <c r="B737" s="183"/>
      <c r="C737" s="183"/>
      <c r="D737" s="183"/>
      <c r="E737" s="183"/>
      <c r="F737" s="183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</row>
    <row r="738" spans="1:16" ht="13" customHeight="1">
      <c r="A738" s="183"/>
      <c r="B738" s="183"/>
      <c r="C738" s="183"/>
      <c r="D738" s="183"/>
      <c r="E738" s="183"/>
      <c r="F738" s="183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</row>
    <row r="739" spans="1:16" ht="13" customHeight="1">
      <c r="A739" s="183"/>
      <c r="B739" s="183"/>
      <c r="C739" s="183"/>
      <c r="D739" s="183"/>
      <c r="E739" s="183"/>
      <c r="F739" s="183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</row>
    <row r="740" spans="1:16" ht="13" customHeight="1">
      <c r="A740" s="183"/>
      <c r="B740" s="183"/>
      <c r="C740" s="183"/>
      <c r="D740" s="183"/>
      <c r="E740" s="183"/>
      <c r="F740" s="183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</row>
    <row r="741" spans="1:16" ht="13" customHeight="1">
      <c r="A741" s="183"/>
      <c r="B741" s="183"/>
      <c r="C741" s="183"/>
      <c r="D741" s="183"/>
      <c r="E741" s="183"/>
      <c r="F741" s="183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</row>
    <row r="742" spans="1:16" ht="13" customHeight="1">
      <c r="A742" s="183"/>
      <c r="B742" s="183"/>
      <c r="C742" s="183"/>
      <c r="D742" s="183"/>
      <c r="E742" s="183"/>
      <c r="F742" s="183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</row>
    <row r="743" spans="1:16" ht="13" customHeight="1">
      <c r="A743" s="183"/>
      <c r="B743" s="183"/>
      <c r="C743" s="183"/>
      <c r="D743" s="183"/>
      <c r="E743" s="183"/>
      <c r="F743" s="183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</row>
    <row r="744" spans="1:16" ht="13" customHeight="1">
      <c r="A744" s="183"/>
      <c r="B744" s="183"/>
      <c r="C744" s="183"/>
      <c r="D744" s="183"/>
      <c r="E744" s="183"/>
      <c r="F744" s="183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</row>
    <row r="745" spans="1:16" ht="13" customHeight="1">
      <c r="A745" s="183"/>
      <c r="B745" s="183"/>
      <c r="C745" s="183"/>
      <c r="D745" s="183"/>
      <c r="E745" s="183"/>
      <c r="F745" s="183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</row>
    <row r="746" spans="1:16" ht="13" customHeight="1">
      <c r="A746" s="183"/>
      <c r="B746" s="183"/>
      <c r="C746" s="183"/>
      <c r="D746" s="183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</row>
    <row r="747" spans="1:16" ht="13" customHeight="1">
      <c r="A747" s="183"/>
      <c r="B747" s="183"/>
      <c r="C747" s="183"/>
      <c r="D747" s="183"/>
      <c r="E747" s="183"/>
      <c r="F747" s="183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</row>
    <row r="748" spans="1:16" ht="13" customHeight="1">
      <c r="A748" s="183"/>
      <c r="B748" s="183"/>
      <c r="C748" s="183"/>
      <c r="D748" s="183"/>
      <c r="E748" s="183"/>
      <c r="F748" s="183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</row>
    <row r="749" spans="1:16" ht="13" customHeight="1">
      <c r="A749" s="183"/>
      <c r="B749" s="183"/>
      <c r="C749" s="183"/>
      <c r="D749" s="183"/>
      <c r="E749" s="183"/>
      <c r="F749" s="183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</row>
    <row r="750" spans="1:16" ht="13" customHeight="1">
      <c r="A750" s="183"/>
      <c r="B750" s="183"/>
      <c r="C750" s="183"/>
      <c r="D750" s="183"/>
      <c r="E750" s="183"/>
      <c r="F750" s="183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</row>
    <row r="751" spans="1:16" ht="13" customHeight="1">
      <c r="A751" s="183"/>
      <c r="B751" s="183"/>
      <c r="C751" s="183"/>
      <c r="D751" s="183"/>
      <c r="E751" s="183"/>
      <c r="F751" s="183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</row>
    <row r="752" spans="1:16" ht="13" customHeight="1">
      <c r="A752" s="183"/>
      <c r="B752" s="183"/>
      <c r="C752" s="183"/>
      <c r="D752" s="183"/>
      <c r="E752" s="183"/>
      <c r="F752" s="183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</row>
    <row r="753" spans="1:16" ht="13" customHeight="1">
      <c r="A753" s="183"/>
      <c r="B753" s="183"/>
      <c r="C753" s="183"/>
      <c r="D753" s="183"/>
      <c r="E753" s="183"/>
      <c r="F753" s="183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</row>
    <row r="754" spans="1:16" ht="13" customHeight="1">
      <c r="A754" s="183"/>
      <c r="B754" s="183"/>
      <c r="C754" s="183"/>
      <c r="D754" s="183"/>
      <c r="E754" s="183"/>
      <c r="F754" s="183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</row>
    <row r="755" spans="1:16" ht="13" customHeight="1">
      <c r="A755" s="183"/>
      <c r="B755" s="183"/>
      <c r="C755" s="183"/>
      <c r="D755" s="183"/>
      <c r="E755" s="183"/>
      <c r="F755" s="183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</row>
    <row r="756" spans="1:16" ht="13" customHeight="1">
      <c r="A756" s="183"/>
      <c r="B756" s="183"/>
      <c r="C756" s="183"/>
      <c r="D756" s="183"/>
      <c r="E756" s="183"/>
      <c r="F756" s="183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</row>
    <row r="757" spans="1:16" ht="13" customHeight="1">
      <c r="A757" s="183"/>
      <c r="B757" s="183"/>
      <c r="C757" s="183"/>
      <c r="D757" s="183"/>
      <c r="E757" s="183"/>
      <c r="F757" s="183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</row>
    <row r="758" spans="1:16" ht="13" customHeight="1">
      <c r="A758" s="183"/>
      <c r="B758" s="183"/>
      <c r="C758" s="183"/>
      <c r="D758" s="183"/>
      <c r="E758" s="183"/>
      <c r="F758" s="183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</row>
    <row r="759" spans="1:16" ht="13" customHeight="1">
      <c r="A759" s="183"/>
      <c r="B759" s="183"/>
      <c r="C759" s="183"/>
      <c r="D759" s="183"/>
      <c r="E759" s="183"/>
      <c r="F759" s="183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</row>
    <row r="760" spans="1:16" ht="13" customHeight="1">
      <c r="A760" s="183"/>
      <c r="B760" s="183"/>
      <c r="C760" s="183"/>
      <c r="D760" s="183"/>
      <c r="E760" s="183"/>
      <c r="F760" s="183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</row>
    <row r="761" spans="1:16" ht="13" customHeight="1">
      <c r="A761" s="183"/>
      <c r="B761" s="183"/>
      <c r="C761" s="183"/>
      <c r="D761" s="183"/>
      <c r="E761" s="183"/>
      <c r="F761" s="183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</row>
    <row r="762" spans="1:16" ht="13" customHeight="1">
      <c r="A762" s="183"/>
      <c r="B762" s="183"/>
      <c r="C762" s="183"/>
      <c r="D762" s="183"/>
      <c r="E762" s="183"/>
      <c r="F762" s="183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</row>
    <row r="763" spans="1:16" ht="13" customHeight="1">
      <c r="A763" s="183"/>
      <c r="B763" s="183"/>
      <c r="C763" s="183"/>
      <c r="D763" s="183"/>
      <c r="E763" s="183"/>
      <c r="F763" s="183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</row>
    <row r="764" spans="1:16" ht="13" customHeight="1">
      <c r="A764" s="183"/>
      <c r="B764" s="183"/>
      <c r="C764" s="183"/>
      <c r="D764" s="183"/>
      <c r="E764" s="183"/>
      <c r="F764" s="183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</row>
    <row r="765" spans="1:16" ht="13" customHeight="1">
      <c r="A765" s="183"/>
      <c r="B765" s="183"/>
      <c r="C765" s="183"/>
      <c r="D765" s="183"/>
      <c r="E765" s="183"/>
      <c r="F765" s="183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</row>
    <row r="766" spans="1:16" ht="13" customHeight="1">
      <c r="A766" s="183"/>
      <c r="B766" s="183"/>
      <c r="C766" s="183"/>
      <c r="D766" s="183"/>
      <c r="E766" s="183"/>
      <c r="F766" s="183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</row>
    <row r="767" spans="1:16" ht="13" customHeight="1">
      <c r="A767" s="183"/>
      <c r="B767" s="183"/>
      <c r="C767" s="183"/>
      <c r="D767" s="183"/>
      <c r="E767" s="183"/>
      <c r="F767" s="183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</row>
    <row r="768" spans="1:16" ht="13" customHeight="1">
      <c r="A768" s="183"/>
      <c r="B768" s="183"/>
      <c r="C768" s="183"/>
      <c r="D768" s="183"/>
      <c r="E768" s="183"/>
      <c r="F768" s="183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</row>
    <row r="769" spans="1:16" ht="13" customHeight="1">
      <c r="A769" s="183"/>
      <c r="B769" s="183"/>
      <c r="C769" s="183"/>
      <c r="D769" s="183"/>
      <c r="E769" s="183"/>
      <c r="F769" s="183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</row>
    <row r="770" spans="1:16" ht="13" customHeight="1">
      <c r="A770" s="183"/>
      <c r="B770" s="183"/>
      <c r="C770" s="183"/>
      <c r="D770" s="183"/>
      <c r="E770" s="183"/>
      <c r="F770" s="183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</row>
    <row r="771" spans="1:16" ht="13" customHeight="1">
      <c r="A771" s="183"/>
      <c r="B771" s="183"/>
      <c r="C771" s="183"/>
      <c r="D771" s="183"/>
      <c r="E771" s="183"/>
      <c r="F771" s="183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</row>
    <row r="772" spans="1:16" ht="13" customHeight="1">
      <c r="A772" s="183"/>
      <c r="B772" s="183"/>
      <c r="C772" s="183"/>
      <c r="D772" s="183"/>
      <c r="E772" s="183"/>
      <c r="F772" s="183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</row>
    <row r="773" spans="1:16" ht="13" customHeight="1">
      <c r="A773" s="183"/>
      <c r="B773" s="183"/>
      <c r="C773" s="183"/>
      <c r="D773" s="183"/>
      <c r="E773" s="183"/>
      <c r="F773" s="183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</row>
    <row r="774" spans="1:16" ht="13" customHeight="1">
      <c r="A774" s="183"/>
      <c r="B774" s="183"/>
      <c r="C774" s="183"/>
      <c r="D774" s="183"/>
      <c r="E774" s="183"/>
      <c r="F774" s="183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</row>
    <row r="775" spans="1:16" ht="13" customHeight="1">
      <c r="A775" s="183"/>
      <c r="B775" s="183"/>
      <c r="C775" s="183"/>
      <c r="D775" s="183"/>
      <c r="E775" s="183"/>
      <c r="F775" s="183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</row>
    <row r="776" spans="1:16" ht="13" customHeight="1">
      <c r="A776" s="183"/>
      <c r="B776" s="183"/>
      <c r="C776" s="183"/>
      <c r="D776" s="183"/>
      <c r="E776" s="183"/>
      <c r="F776" s="183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</row>
    <row r="777" spans="1:16" ht="13" customHeight="1">
      <c r="A777" s="183"/>
      <c r="B777" s="183"/>
      <c r="C777" s="183"/>
      <c r="D777" s="183"/>
      <c r="E777" s="183"/>
      <c r="F777" s="183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</row>
    <row r="778" spans="1:16" ht="13" customHeight="1">
      <c r="A778" s="183"/>
      <c r="B778" s="183"/>
      <c r="C778" s="183"/>
      <c r="D778" s="183"/>
      <c r="E778" s="183"/>
      <c r="F778" s="183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</row>
    <row r="779" spans="1:16" ht="13" customHeight="1">
      <c r="A779" s="183"/>
      <c r="B779" s="183"/>
      <c r="C779" s="183"/>
      <c r="D779" s="183"/>
      <c r="E779" s="183"/>
      <c r="F779" s="183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</row>
    <row r="780" spans="1:16" ht="13" customHeight="1">
      <c r="A780" s="183"/>
      <c r="B780" s="183"/>
      <c r="C780" s="183"/>
      <c r="D780" s="183"/>
      <c r="E780" s="183"/>
      <c r="F780" s="183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</row>
    <row r="781" spans="1:16" ht="13" customHeight="1">
      <c r="A781" s="183"/>
      <c r="B781" s="183"/>
      <c r="C781" s="183"/>
      <c r="D781" s="183"/>
      <c r="E781" s="183"/>
      <c r="F781" s="183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</row>
    <row r="782" spans="1:16" ht="13" customHeight="1">
      <c r="A782" s="183"/>
      <c r="B782" s="183"/>
      <c r="C782" s="183"/>
      <c r="D782" s="183"/>
      <c r="E782" s="183"/>
      <c r="F782" s="183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</row>
    <row r="783" spans="1:16" ht="13" customHeight="1">
      <c r="A783" s="183"/>
      <c r="B783" s="183"/>
      <c r="C783" s="183"/>
      <c r="D783" s="183"/>
      <c r="E783" s="183"/>
      <c r="F783" s="183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</row>
    <row r="784" spans="1:16" ht="13" customHeight="1">
      <c r="A784" s="183"/>
      <c r="B784" s="183"/>
      <c r="C784" s="183"/>
      <c r="D784" s="183"/>
      <c r="E784" s="183"/>
      <c r="F784" s="183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</row>
    <row r="785" spans="1:16" ht="13" customHeight="1">
      <c r="A785" s="183"/>
      <c r="B785" s="183"/>
      <c r="C785" s="183"/>
      <c r="D785" s="183"/>
      <c r="E785" s="183"/>
      <c r="F785" s="183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</row>
    <row r="786" spans="1:16" ht="13" customHeight="1">
      <c r="A786" s="183"/>
      <c r="B786" s="183"/>
      <c r="C786" s="183"/>
      <c r="D786" s="183"/>
      <c r="E786" s="183"/>
      <c r="F786" s="183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</row>
    <row r="787" spans="1:16" ht="13" customHeight="1">
      <c r="A787" s="183"/>
      <c r="B787" s="183"/>
      <c r="C787" s="183"/>
      <c r="D787" s="183"/>
      <c r="E787" s="183"/>
      <c r="F787" s="183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</row>
    <row r="788" spans="1:16" ht="13" customHeight="1">
      <c r="A788" s="183"/>
      <c r="B788" s="183"/>
      <c r="C788" s="183"/>
      <c r="D788" s="183"/>
      <c r="E788" s="183"/>
      <c r="F788" s="183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</row>
    <row r="789" spans="1:16" ht="13" customHeight="1">
      <c r="A789" s="183"/>
      <c r="B789" s="183"/>
      <c r="C789" s="183"/>
      <c r="D789" s="183"/>
      <c r="E789" s="183"/>
      <c r="F789" s="183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</row>
    <row r="790" spans="1:16" ht="13" customHeight="1">
      <c r="A790" s="183"/>
      <c r="B790" s="183"/>
      <c r="C790" s="183"/>
      <c r="D790" s="183"/>
      <c r="E790" s="183"/>
      <c r="F790" s="183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</row>
    <row r="791" spans="1:16" ht="13" customHeight="1">
      <c r="A791" s="183"/>
      <c r="B791" s="183"/>
      <c r="C791" s="183"/>
      <c r="D791" s="183"/>
      <c r="E791" s="183"/>
      <c r="F791" s="183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</row>
    <row r="792" spans="1:16" ht="13" customHeight="1">
      <c r="A792" s="183"/>
      <c r="B792" s="183"/>
      <c r="C792" s="183"/>
      <c r="D792" s="183"/>
      <c r="E792" s="183"/>
      <c r="F792" s="183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</row>
    <row r="793" spans="1:16" ht="13" customHeight="1">
      <c r="A793" s="183"/>
      <c r="B793" s="183"/>
      <c r="C793" s="183"/>
      <c r="D793" s="183"/>
      <c r="E793" s="183"/>
      <c r="F793" s="183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</row>
    <row r="794" spans="1:16" ht="13" customHeight="1">
      <c r="A794" s="183"/>
      <c r="B794" s="183"/>
      <c r="C794" s="183"/>
      <c r="D794" s="183"/>
      <c r="E794" s="183"/>
      <c r="F794" s="183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</row>
    <row r="795" spans="1:16" ht="13" customHeight="1">
      <c r="A795" s="183"/>
      <c r="B795" s="183"/>
      <c r="C795" s="183"/>
      <c r="D795" s="183"/>
      <c r="E795" s="183"/>
      <c r="F795" s="183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</row>
    <row r="796" spans="1:16" ht="13" customHeight="1">
      <c r="A796" s="183"/>
      <c r="B796" s="183"/>
      <c r="C796" s="183"/>
      <c r="D796" s="183"/>
      <c r="E796" s="183"/>
      <c r="F796" s="183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</row>
    <row r="797" spans="1:16" ht="13" customHeight="1">
      <c r="A797" s="183"/>
      <c r="B797" s="183"/>
      <c r="C797" s="183"/>
      <c r="D797" s="183"/>
      <c r="E797" s="183"/>
      <c r="F797" s="183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</row>
    <row r="798" spans="1:16" ht="13" customHeight="1">
      <c r="A798" s="183"/>
      <c r="B798" s="183"/>
      <c r="C798" s="183"/>
      <c r="D798" s="183"/>
      <c r="E798" s="183"/>
      <c r="F798" s="183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</row>
    <row r="799" spans="1:16" ht="13" customHeight="1">
      <c r="A799" s="183"/>
      <c r="B799" s="183"/>
      <c r="C799" s="183"/>
      <c r="D799" s="183"/>
      <c r="E799" s="183"/>
      <c r="F799" s="183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</row>
    <row r="800" spans="1:16" ht="13" customHeight="1">
      <c r="A800" s="183"/>
      <c r="B800" s="183"/>
      <c r="C800" s="183"/>
      <c r="D800" s="183"/>
      <c r="E800" s="183"/>
      <c r="F800" s="183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</row>
    <row r="801" spans="1:16" ht="13" customHeight="1">
      <c r="A801" s="183"/>
      <c r="B801" s="183"/>
      <c r="C801" s="183"/>
      <c r="D801" s="183"/>
      <c r="E801" s="183"/>
      <c r="F801" s="183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</row>
    <row r="802" spans="1:16" ht="13" customHeight="1">
      <c r="A802" s="183"/>
      <c r="B802" s="183"/>
      <c r="C802" s="183"/>
      <c r="D802" s="183"/>
      <c r="E802" s="183"/>
      <c r="F802" s="183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</row>
    <row r="803" spans="1:16" ht="13" customHeight="1">
      <c r="A803" s="183"/>
      <c r="B803" s="183"/>
      <c r="C803" s="183"/>
      <c r="D803" s="183"/>
      <c r="E803" s="183"/>
      <c r="F803" s="183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</row>
    <row r="804" spans="1:16" ht="13" customHeight="1">
      <c r="A804" s="183"/>
      <c r="B804" s="183"/>
      <c r="C804" s="183"/>
      <c r="D804" s="183"/>
      <c r="E804" s="183"/>
      <c r="F804" s="183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</row>
    <row r="805" spans="1:16" ht="13" customHeight="1">
      <c r="A805" s="183"/>
      <c r="B805" s="183"/>
      <c r="C805" s="183"/>
      <c r="D805" s="183"/>
      <c r="E805" s="183"/>
      <c r="F805" s="183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</row>
    <row r="806" spans="1:16" ht="13" customHeight="1">
      <c r="A806" s="183"/>
      <c r="B806" s="183"/>
      <c r="C806" s="183"/>
      <c r="D806" s="183"/>
      <c r="E806" s="183"/>
      <c r="F806" s="183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</row>
    <row r="807" spans="1:16" ht="13" customHeight="1">
      <c r="A807" s="183"/>
      <c r="B807" s="183"/>
      <c r="C807" s="183"/>
      <c r="D807" s="183"/>
      <c r="E807" s="183"/>
      <c r="F807" s="183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</row>
    <row r="808" spans="1:16" ht="13" customHeight="1">
      <c r="A808" s="183"/>
      <c r="B808" s="183"/>
      <c r="C808" s="183"/>
      <c r="D808" s="183"/>
      <c r="E808" s="183"/>
      <c r="F808" s="183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</row>
    <row r="809" spans="1:16" ht="13" customHeight="1">
      <c r="A809" s="183"/>
      <c r="B809" s="183"/>
      <c r="C809" s="183"/>
      <c r="D809" s="183"/>
      <c r="E809" s="183"/>
      <c r="F809" s="183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</row>
    <row r="810" spans="1:16" ht="13" customHeight="1">
      <c r="A810" s="183"/>
      <c r="B810" s="183"/>
      <c r="C810" s="183"/>
      <c r="D810" s="183"/>
      <c r="E810" s="183"/>
      <c r="F810" s="183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</row>
    <row r="811" spans="1:16" ht="13" customHeight="1">
      <c r="A811" s="183"/>
      <c r="B811" s="183"/>
      <c r="C811" s="183"/>
      <c r="D811" s="183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</row>
    <row r="812" spans="1:16" ht="13" customHeight="1">
      <c r="A812" s="183"/>
      <c r="B812" s="183"/>
      <c r="C812" s="183"/>
      <c r="D812" s="183"/>
      <c r="E812" s="183"/>
      <c r="F812" s="183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</row>
    <row r="813" spans="1:16" ht="13" customHeight="1">
      <c r="A813" s="183"/>
      <c r="B813" s="183"/>
      <c r="C813" s="183"/>
      <c r="D813" s="183"/>
      <c r="E813" s="183"/>
      <c r="F813" s="183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</row>
    <row r="814" spans="1:16" ht="13" customHeight="1">
      <c r="A814" s="183"/>
      <c r="B814" s="183"/>
      <c r="C814" s="183"/>
      <c r="D814" s="183"/>
      <c r="E814" s="183"/>
      <c r="F814" s="183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</row>
    <row r="815" spans="1:16" ht="13" customHeight="1">
      <c r="A815" s="183"/>
      <c r="B815" s="183"/>
      <c r="C815" s="183"/>
      <c r="D815" s="183"/>
      <c r="E815" s="183"/>
      <c r="F815" s="183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</row>
    <row r="816" spans="1:16" ht="13" customHeight="1">
      <c r="A816" s="183"/>
      <c r="B816" s="183"/>
      <c r="C816" s="183"/>
      <c r="D816" s="183"/>
      <c r="E816" s="183"/>
      <c r="F816" s="183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</row>
    <row r="817" spans="1:16" ht="13" customHeight="1">
      <c r="A817" s="183"/>
      <c r="B817" s="183"/>
      <c r="C817" s="183"/>
      <c r="D817" s="183"/>
      <c r="E817" s="183"/>
      <c r="F817" s="183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</row>
    <row r="818" spans="1:16" ht="13" customHeight="1">
      <c r="A818" s="183"/>
      <c r="B818" s="183"/>
      <c r="C818" s="183"/>
      <c r="D818" s="183"/>
      <c r="E818" s="183"/>
      <c r="F818" s="183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</row>
    <row r="819" spans="1:16" ht="13" customHeight="1">
      <c r="A819" s="183"/>
      <c r="B819" s="183"/>
      <c r="C819" s="183"/>
      <c r="D819" s="183"/>
      <c r="E819" s="183"/>
      <c r="F819" s="183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</row>
    <row r="820" spans="1:16" ht="13" customHeight="1">
      <c r="A820" s="183"/>
      <c r="B820" s="183"/>
      <c r="C820" s="183"/>
      <c r="D820" s="183"/>
      <c r="E820" s="183"/>
      <c r="F820" s="183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</row>
    <row r="821" spans="1:16" ht="13" customHeight="1">
      <c r="A821" s="183"/>
      <c r="B821" s="183"/>
      <c r="C821" s="183"/>
      <c r="D821" s="183"/>
      <c r="E821" s="183"/>
      <c r="F821" s="183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</row>
    <row r="822" spans="1:16" ht="13" customHeight="1">
      <c r="A822" s="183"/>
      <c r="B822" s="183"/>
      <c r="C822" s="183"/>
      <c r="D822" s="183"/>
      <c r="E822" s="183"/>
      <c r="F822" s="183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</row>
    <row r="823" spans="1:16" ht="13" customHeight="1">
      <c r="A823" s="183"/>
      <c r="B823" s="183"/>
      <c r="C823" s="183"/>
      <c r="D823" s="183"/>
      <c r="E823" s="183"/>
      <c r="F823" s="183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</row>
    <row r="824" spans="1:16" ht="13" customHeight="1">
      <c r="A824" s="183"/>
      <c r="B824" s="183"/>
      <c r="C824" s="183"/>
      <c r="D824" s="183"/>
      <c r="E824" s="183"/>
      <c r="F824" s="183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</row>
    <row r="825" spans="1:16" ht="13" customHeight="1">
      <c r="A825" s="183"/>
      <c r="B825" s="183"/>
      <c r="C825" s="183"/>
      <c r="D825" s="183"/>
      <c r="E825" s="183"/>
      <c r="F825" s="183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</row>
    <row r="826" spans="1:16" ht="13" customHeight="1">
      <c r="A826" s="183"/>
      <c r="B826" s="183"/>
      <c r="C826" s="183"/>
      <c r="D826" s="183"/>
      <c r="E826" s="183"/>
      <c r="F826" s="183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</row>
    <row r="827" spans="1:16" ht="13" customHeight="1">
      <c r="A827" s="183"/>
      <c r="B827" s="183"/>
      <c r="C827" s="183"/>
      <c r="D827" s="183"/>
      <c r="E827" s="183"/>
      <c r="F827" s="183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</row>
    <row r="828" spans="1:16" ht="13" customHeight="1">
      <c r="A828" s="183"/>
      <c r="B828" s="183"/>
      <c r="C828" s="183"/>
      <c r="D828" s="183"/>
      <c r="E828" s="183"/>
      <c r="F828" s="183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</row>
    <row r="829" spans="1:16" ht="13" customHeight="1">
      <c r="A829" s="183"/>
      <c r="B829" s="183"/>
      <c r="C829" s="183"/>
      <c r="D829" s="183"/>
      <c r="E829" s="183"/>
      <c r="F829" s="183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</row>
    <row r="830" spans="1:16" ht="13" customHeight="1">
      <c r="A830" s="183"/>
      <c r="B830" s="183"/>
      <c r="C830" s="183"/>
      <c r="D830" s="183"/>
      <c r="E830" s="183"/>
      <c r="F830" s="183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</row>
    <row r="831" spans="1:16" ht="13" customHeight="1">
      <c r="A831" s="183"/>
      <c r="B831" s="183"/>
      <c r="C831" s="183"/>
      <c r="D831" s="183"/>
      <c r="E831" s="183"/>
      <c r="F831" s="183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</row>
    <row r="832" spans="1:16" ht="13" customHeight="1">
      <c r="A832" s="183"/>
      <c r="B832" s="183"/>
      <c r="C832" s="183"/>
      <c r="D832" s="183"/>
      <c r="E832" s="183"/>
      <c r="F832" s="183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</row>
    <row r="833" spans="1:16" ht="13" customHeight="1">
      <c r="A833" s="183"/>
      <c r="B833" s="183"/>
      <c r="C833" s="183"/>
      <c r="D833" s="183"/>
      <c r="E833" s="183"/>
      <c r="F833" s="183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</row>
    <row r="834" spans="1:16" ht="13" customHeight="1">
      <c r="A834" s="183"/>
      <c r="B834" s="183"/>
      <c r="C834" s="183"/>
      <c r="D834" s="183"/>
      <c r="E834" s="183"/>
      <c r="F834" s="183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</row>
    <row r="835" spans="1:16" ht="13" customHeight="1">
      <c r="A835" s="183"/>
      <c r="B835" s="183"/>
      <c r="C835" s="183"/>
      <c r="D835" s="183"/>
      <c r="E835" s="183"/>
      <c r="F835" s="183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</row>
    <row r="836" spans="1:16" ht="13" customHeight="1">
      <c r="A836" s="183"/>
      <c r="B836" s="183"/>
      <c r="C836" s="183"/>
      <c r="D836" s="183"/>
      <c r="E836" s="183"/>
      <c r="F836" s="183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</row>
    <row r="837" spans="1:16" ht="13" customHeight="1">
      <c r="A837" s="183"/>
      <c r="B837" s="183"/>
      <c r="C837" s="183"/>
      <c r="D837" s="183"/>
      <c r="E837" s="183"/>
      <c r="F837" s="183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</row>
    <row r="838" spans="1:16" ht="13" customHeight="1">
      <c r="A838" s="183"/>
      <c r="B838" s="183"/>
      <c r="C838" s="183"/>
      <c r="D838" s="183"/>
      <c r="E838" s="183"/>
      <c r="F838" s="183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</row>
    <row r="839" spans="1:16" ht="13" customHeight="1">
      <c r="A839" s="183"/>
      <c r="B839" s="183"/>
      <c r="C839" s="183"/>
      <c r="D839" s="183"/>
      <c r="E839" s="183"/>
      <c r="F839" s="183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</row>
    <row r="840" spans="1:16" ht="13" customHeight="1">
      <c r="A840" s="183"/>
      <c r="B840" s="183"/>
      <c r="C840" s="183"/>
      <c r="D840" s="183"/>
      <c r="E840" s="183"/>
      <c r="F840" s="183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</row>
    <row r="841" spans="1:16" ht="13" customHeight="1">
      <c r="A841" s="183"/>
      <c r="B841" s="183"/>
      <c r="C841" s="183"/>
      <c r="D841" s="183"/>
      <c r="E841" s="183"/>
      <c r="F841" s="183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</row>
    <row r="842" spans="1:16" ht="13" customHeight="1">
      <c r="A842" s="183"/>
      <c r="B842" s="183"/>
      <c r="C842" s="183"/>
      <c r="D842" s="183"/>
      <c r="E842" s="183"/>
      <c r="F842" s="183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</row>
    <row r="843" spans="1:16" ht="13" customHeight="1">
      <c r="A843" s="183"/>
      <c r="B843" s="183"/>
      <c r="C843" s="183"/>
      <c r="D843" s="183"/>
      <c r="E843" s="183"/>
      <c r="F843" s="183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</row>
    <row r="844" spans="1:16" ht="13" customHeight="1">
      <c r="A844" s="183"/>
      <c r="B844" s="183"/>
      <c r="C844" s="183"/>
      <c r="D844" s="183"/>
      <c r="E844" s="183"/>
      <c r="F844" s="183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</row>
    <row r="845" spans="1:16" ht="13" customHeight="1">
      <c r="A845" s="183"/>
      <c r="B845" s="183"/>
      <c r="C845" s="183"/>
      <c r="D845" s="183"/>
      <c r="E845" s="183"/>
      <c r="F845" s="183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</row>
    <row r="846" spans="1:16" ht="13" customHeight="1">
      <c r="A846" s="183"/>
      <c r="B846" s="183"/>
      <c r="C846" s="183"/>
      <c r="D846" s="183"/>
      <c r="E846" s="183"/>
      <c r="F846" s="183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</row>
    <row r="847" spans="1:16" ht="13" customHeight="1">
      <c r="A847" s="183"/>
      <c r="B847" s="183"/>
      <c r="C847" s="183"/>
      <c r="D847" s="183"/>
      <c r="E847" s="183"/>
      <c r="F847" s="183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</row>
    <row r="848" spans="1:16" ht="13" customHeight="1">
      <c r="A848" s="183"/>
      <c r="B848" s="183"/>
      <c r="C848" s="183"/>
      <c r="D848" s="183"/>
      <c r="E848" s="183"/>
      <c r="F848" s="183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</row>
    <row r="849" spans="1:16" ht="13" customHeight="1">
      <c r="A849" s="183"/>
      <c r="B849" s="183"/>
      <c r="C849" s="183"/>
      <c r="D849" s="183"/>
      <c r="E849" s="183"/>
      <c r="F849" s="183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</row>
    <row r="850" spans="1:16" ht="13" customHeight="1">
      <c r="A850" s="183"/>
      <c r="B850" s="183"/>
      <c r="C850" s="183"/>
      <c r="D850" s="183"/>
      <c r="E850" s="183"/>
      <c r="F850" s="183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</row>
    <row r="851" spans="1:16" ht="13" customHeight="1">
      <c r="A851" s="183"/>
      <c r="B851" s="183"/>
      <c r="C851" s="183"/>
      <c r="D851" s="183"/>
      <c r="E851" s="183"/>
      <c r="F851" s="183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</row>
    <row r="852" spans="1:16" ht="13" customHeight="1">
      <c r="A852" s="183"/>
      <c r="B852" s="183"/>
      <c r="C852" s="183"/>
      <c r="D852" s="183"/>
      <c r="E852" s="183"/>
      <c r="F852" s="183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</row>
    <row r="853" spans="1:16" ht="13" customHeight="1">
      <c r="A853" s="183"/>
      <c r="B853" s="183"/>
      <c r="C853" s="183"/>
      <c r="D853" s="183"/>
      <c r="E853" s="183"/>
      <c r="F853" s="183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</row>
    <row r="854" spans="1:16" ht="13" customHeight="1">
      <c r="A854" s="183"/>
      <c r="B854" s="183"/>
      <c r="C854" s="183"/>
      <c r="D854" s="183"/>
      <c r="E854" s="183"/>
      <c r="F854" s="183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</row>
    <row r="855" spans="1:16" ht="13" customHeight="1">
      <c r="A855" s="183"/>
      <c r="B855" s="183"/>
      <c r="C855" s="183"/>
      <c r="D855" s="183"/>
      <c r="E855" s="183"/>
      <c r="F855" s="183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</row>
    <row r="856" spans="1:16" ht="13" customHeight="1">
      <c r="A856" s="183"/>
      <c r="B856" s="183"/>
      <c r="C856" s="183"/>
      <c r="D856" s="183"/>
      <c r="E856" s="183"/>
      <c r="F856" s="183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</row>
    <row r="857" spans="1:16" ht="13" customHeight="1">
      <c r="A857" s="183"/>
      <c r="B857" s="183"/>
      <c r="C857" s="183"/>
      <c r="D857" s="183"/>
      <c r="E857" s="183"/>
      <c r="F857" s="183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</row>
    <row r="858" spans="1:16" ht="13" customHeight="1">
      <c r="A858" s="183"/>
      <c r="B858" s="183"/>
      <c r="C858" s="183"/>
      <c r="D858" s="183"/>
      <c r="E858" s="183"/>
      <c r="F858" s="183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</row>
    <row r="859" spans="1:16" ht="13" customHeight="1">
      <c r="A859" s="183"/>
      <c r="B859" s="183"/>
      <c r="C859" s="183"/>
      <c r="D859" s="183"/>
      <c r="E859" s="183"/>
      <c r="F859" s="183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</row>
    <row r="860" spans="1:16" ht="13" customHeight="1">
      <c r="A860" s="183"/>
      <c r="B860" s="183"/>
      <c r="C860" s="183"/>
      <c r="D860" s="183"/>
      <c r="E860" s="183"/>
      <c r="F860" s="183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</row>
    <row r="861" spans="1:16" ht="13" customHeight="1">
      <c r="A861" s="183"/>
      <c r="B861" s="183"/>
      <c r="C861" s="183"/>
      <c r="D861" s="183"/>
      <c r="E861" s="183"/>
      <c r="F861" s="183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</row>
    <row r="862" spans="1:16" ht="13" customHeight="1">
      <c r="A862" s="183"/>
      <c r="B862" s="183"/>
      <c r="C862" s="183"/>
      <c r="D862" s="183"/>
      <c r="E862" s="183"/>
      <c r="F862" s="183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</row>
    <row r="863" spans="1:16" ht="13" customHeight="1">
      <c r="A863" s="183"/>
      <c r="B863" s="183"/>
      <c r="C863" s="183"/>
      <c r="D863" s="183"/>
      <c r="E863" s="183"/>
      <c r="F863" s="183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</row>
    <row r="864" spans="1:16" ht="13" customHeight="1">
      <c r="A864" s="183"/>
      <c r="B864" s="183"/>
      <c r="C864" s="183"/>
      <c r="D864" s="183"/>
      <c r="E864" s="183"/>
      <c r="F864" s="183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</row>
    <row r="865" spans="1:16" ht="13" customHeight="1">
      <c r="A865" s="183"/>
      <c r="B865" s="183"/>
      <c r="C865" s="183"/>
      <c r="D865" s="183"/>
      <c r="E865" s="183"/>
      <c r="F865" s="183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</row>
    <row r="866" spans="1:16" ht="13" customHeight="1">
      <c r="A866" s="183"/>
      <c r="B866" s="183"/>
      <c r="C866" s="183"/>
      <c r="D866" s="183"/>
      <c r="E866" s="183"/>
      <c r="F866" s="183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</row>
    <row r="867" spans="1:16" ht="13" customHeight="1">
      <c r="A867" s="183"/>
      <c r="B867" s="183"/>
      <c r="C867" s="183"/>
      <c r="D867" s="183"/>
      <c r="E867" s="183"/>
      <c r="F867" s="183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</row>
    <row r="868" spans="1:16" ht="13" customHeight="1">
      <c r="A868" s="183"/>
      <c r="B868" s="183"/>
      <c r="C868" s="183"/>
      <c r="D868" s="183"/>
      <c r="E868" s="183"/>
      <c r="F868" s="183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</row>
    <row r="869" spans="1:16" ht="13" customHeight="1">
      <c r="A869" s="183"/>
      <c r="B869" s="183"/>
      <c r="C869" s="183"/>
      <c r="D869" s="183"/>
      <c r="E869" s="183"/>
      <c r="F869" s="183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</row>
    <row r="870" spans="1:16" ht="13" customHeight="1">
      <c r="A870" s="183"/>
      <c r="B870" s="183"/>
      <c r="C870" s="183"/>
      <c r="D870" s="183"/>
      <c r="E870" s="183"/>
      <c r="F870" s="183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</row>
    <row r="871" spans="1:16" ht="13" customHeight="1">
      <c r="A871" s="183"/>
      <c r="B871" s="183"/>
      <c r="C871" s="183"/>
      <c r="D871" s="183"/>
      <c r="E871" s="183"/>
      <c r="F871" s="183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</row>
    <row r="872" spans="1:16" ht="13" customHeight="1">
      <c r="A872" s="183"/>
      <c r="B872" s="183"/>
      <c r="C872" s="183"/>
      <c r="D872" s="183"/>
      <c r="E872" s="183"/>
      <c r="F872" s="183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</row>
    <row r="873" spans="1:16" ht="13" customHeight="1">
      <c r="A873" s="183"/>
      <c r="B873" s="183"/>
      <c r="C873" s="183"/>
      <c r="D873" s="183"/>
      <c r="E873" s="183"/>
      <c r="F873" s="183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</row>
    <row r="874" spans="1:16" ht="13" customHeight="1">
      <c r="A874" s="183"/>
      <c r="B874" s="183"/>
      <c r="C874" s="183"/>
      <c r="D874" s="183"/>
      <c r="E874" s="183"/>
      <c r="F874" s="183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</row>
    <row r="875" spans="1:16" ht="13" customHeight="1">
      <c r="A875" s="183"/>
      <c r="B875" s="183"/>
      <c r="C875" s="183"/>
      <c r="D875" s="183"/>
      <c r="E875" s="183"/>
      <c r="F875" s="183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</row>
    <row r="876" spans="1:16" ht="13" customHeight="1">
      <c r="A876" s="183"/>
      <c r="B876" s="183"/>
      <c r="C876" s="183"/>
      <c r="D876" s="183"/>
      <c r="E876" s="183"/>
      <c r="F876" s="183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</row>
    <row r="877" spans="1:16" ht="13" customHeight="1">
      <c r="A877" s="183"/>
      <c r="B877" s="183"/>
      <c r="C877" s="183"/>
      <c r="D877" s="183"/>
      <c r="E877" s="183"/>
      <c r="F877" s="183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</row>
    <row r="878" spans="1:16" ht="13" customHeight="1">
      <c r="A878" s="183"/>
      <c r="B878" s="183"/>
      <c r="C878" s="183"/>
      <c r="D878" s="183"/>
      <c r="E878" s="183"/>
      <c r="F878" s="183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</row>
    <row r="879" spans="1:16" ht="13" customHeight="1">
      <c r="A879" s="183"/>
      <c r="B879" s="183"/>
      <c r="C879" s="183"/>
      <c r="D879" s="183"/>
      <c r="E879" s="183"/>
      <c r="F879" s="183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</row>
    <row r="880" spans="1:16" ht="13" customHeight="1">
      <c r="A880" s="183"/>
      <c r="B880" s="183"/>
      <c r="C880" s="183"/>
      <c r="D880" s="183"/>
      <c r="E880" s="183"/>
      <c r="F880" s="183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</row>
    <row r="881" spans="1:16" ht="13" customHeight="1">
      <c r="A881" s="183"/>
      <c r="B881" s="183"/>
      <c r="C881" s="183"/>
      <c r="D881" s="183"/>
      <c r="E881" s="183"/>
      <c r="F881" s="183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</row>
    <row r="882" spans="1:16" ht="13" customHeight="1">
      <c r="A882" s="183"/>
      <c r="B882" s="183"/>
      <c r="C882" s="183"/>
      <c r="D882" s="183"/>
      <c r="E882" s="183"/>
      <c r="F882" s="183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</row>
    <row r="883" spans="1:16" ht="13" customHeight="1">
      <c r="A883" s="183"/>
      <c r="B883" s="183"/>
      <c r="C883" s="183"/>
      <c r="D883" s="183"/>
      <c r="E883" s="183"/>
      <c r="F883" s="183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</row>
    <row r="884" spans="1:16" ht="13" customHeight="1">
      <c r="A884" s="183"/>
      <c r="B884" s="183"/>
      <c r="C884" s="183"/>
      <c r="D884" s="183"/>
      <c r="E884" s="183"/>
      <c r="F884" s="183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</row>
    <row r="885" spans="1:16" ht="13" customHeight="1">
      <c r="A885" s="183"/>
      <c r="B885" s="183"/>
      <c r="C885" s="183"/>
      <c r="D885" s="183"/>
      <c r="E885" s="183"/>
      <c r="F885" s="183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</row>
    <row r="886" spans="1:16" ht="13" customHeight="1">
      <c r="A886" s="183"/>
      <c r="B886" s="183"/>
      <c r="C886" s="183"/>
      <c r="D886" s="183"/>
      <c r="E886" s="183"/>
      <c r="F886" s="183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</row>
    <row r="887" spans="1:16" ht="13" customHeight="1">
      <c r="A887" s="183"/>
      <c r="B887" s="183"/>
      <c r="C887" s="183"/>
      <c r="D887" s="183"/>
      <c r="E887" s="183"/>
      <c r="F887" s="183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</row>
    <row r="888" spans="1:16" ht="13" customHeight="1">
      <c r="A888" s="183"/>
      <c r="B888" s="183"/>
      <c r="C888" s="183"/>
      <c r="D888" s="183"/>
      <c r="E888" s="183"/>
      <c r="F888" s="183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</row>
    <row r="889" spans="1:16" ht="13" customHeight="1">
      <c r="A889" s="183"/>
      <c r="B889" s="183"/>
      <c r="C889" s="183"/>
      <c r="D889" s="183"/>
      <c r="E889" s="183"/>
      <c r="F889" s="183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</row>
    <row r="890" spans="1:16" ht="13" customHeight="1">
      <c r="A890" s="183"/>
      <c r="B890" s="183"/>
      <c r="C890" s="183"/>
      <c r="D890" s="183"/>
      <c r="E890" s="183"/>
      <c r="F890" s="183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</row>
    <row r="891" spans="1:16" ht="13" customHeight="1">
      <c r="A891" s="183"/>
      <c r="B891" s="183"/>
      <c r="C891" s="183"/>
      <c r="D891" s="183"/>
      <c r="E891" s="183"/>
      <c r="F891" s="183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</row>
    <row r="892" spans="1:16" ht="13" customHeight="1">
      <c r="A892" s="183"/>
      <c r="B892" s="183"/>
      <c r="C892" s="183"/>
      <c r="D892" s="183"/>
      <c r="E892" s="183"/>
      <c r="F892" s="183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</row>
    <row r="893" spans="1:16" ht="13" customHeight="1">
      <c r="A893" s="183"/>
      <c r="B893" s="183"/>
      <c r="C893" s="183"/>
      <c r="D893" s="183"/>
      <c r="E893" s="183"/>
      <c r="F893" s="183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</row>
    <row r="894" spans="1:16" ht="13" customHeight="1">
      <c r="A894" s="183"/>
      <c r="B894" s="183"/>
      <c r="C894" s="183"/>
      <c r="D894" s="183"/>
      <c r="E894" s="183"/>
      <c r="F894" s="183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</row>
    <row r="895" spans="1:16" ht="13" customHeight="1">
      <c r="A895" s="183"/>
      <c r="B895" s="183"/>
      <c r="C895" s="183"/>
      <c r="D895" s="183"/>
      <c r="E895" s="183"/>
      <c r="F895" s="183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</row>
    <row r="896" spans="1:16" ht="13" customHeight="1">
      <c r="A896" s="183"/>
      <c r="B896" s="183"/>
      <c r="C896" s="183"/>
      <c r="D896" s="183"/>
      <c r="E896" s="183"/>
      <c r="F896" s="183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</row>
    <row r="897" spans="1:16" ht="13" customHeight="1">
      <c r="A897" s="183"/>
      <c r="B897" s="183"/>
      <c r="C897" s="183"/>
      <c r="D897" s="183"/>
      <c r="E897" s="183"/>
      <c r="F897" s="183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</row>
    <row r="898" spans="1:16" ht="13" customHeight="1">
      <c r="A898" s="183"/>
      <c r="B898" s="183"/>
      <c r="C898" s="183"/>
      <c r="D898" s="183"/>
      <c r="E898" s="183"/>
      <c r="F898" s="183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</row>
    <row r="899" spans="1:16" ht="13" customHeight="1">
      <c r="A899" s="183"/>
      <c r="B899" s="183"/>
      <c r="C899" s="183"/>
      <c r="D899" s="183"/>
      <c r="E899" s="183"/>
      <c r="F899" s="183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</row>
    <row r="900" spans="1:16" ht="13" customHeight="1">
      <c r="A900" s="183"/>
      <c r="B900" s="183"/>
      <c r="C900" s="183"/>
      <c r="D900" s="183"/>
      <c r="E900" s="183"/>
      <c r="F900" s="183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</row>
    <row r="901" spans="1:16" ht="13" customHeight="1">
      <c r="A901" s="183"/>
      <c r="B901" s="183"/>
      <c r="C901" s="183"/>
      <c r="D901" s="183"/>
      <c r="E901" s="183"/>
      <c r="F901" s="183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</row>
    <row r="902" spans="1:16" ht="13" customHeight="1">
      <c r="A902" s="183"/>
      <c r="B902" s="183"/>
      <c r="C902" s="183"/>
      <c r="D902" s="183"/>
      <c r="E902" s="183"/>
      <c r="F902" s="183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</row>
    <row r="903" spans="1:16" ht="13" customHeight="1">
      <c r="A903" s="183"/>
      <c r="B903" s="183"/>
      <c r="C903" s="183"/>
      <c r="D903" s="183"/>
      <c r="E903" s="183"/>
      <c r="F903" s="183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</row>
    <row r="904" spans="1:16" ht="13" customHeight="1">
      <c r="A904" s="183"/>
      <c r="B904" s="183"/>
      <c r="C904" s="183"/>
      <c r="D904" s="183"/>
      <c r="E904" s="183"/>
      <c r="F904" s="183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</row>
    <row r="905" spans="1:16" ht="13" customHeight="1">
      <c r="A905" s="183"/>
      <c r="B905" s="183"/>
      <c r="C905" s="183"/>
      <c r="D905" s="183"/>
      <c r="E905" s="183"/>
      <c r="F905" s="183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</row>
    <row r="906" spans="1:16" ht="13" customHeight="1">
      <c r="A906" s="183"/>
      <c r="B906" s="183"/>
      <c r="C906" s="183"/>
      <c r="D906" s="183"/>
      <c r="E906" s="183"/>
      <c r="F906" s="183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</row>
    <row r="907" spans="1:16" ht="13" customHeight="1">
      <c r="A907" s="183"/>
      <c r="B907" s="183"/>
      <c r="C907" s="183"/>
      <c r="D907" s="183"/>
      <c r="E907" s="183"/>
      <c r="F907" s="183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</row>
    <row r="908" spans="1:16" ht="13" customHeight="1">
      <c r="A908" s="183"/>
      <c r="B908" s="183"/>
      <c r="C908" s="183"/>
      <c r="D908" s="183"/>
      <c r="E908" s="183"/>
      <c r="F908" s="183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</row>
    <row r="909" spans="1:16" ht="13" customHeight="1">
      <c r="A909" s="183"/>
      <c r="B909" s="183"/>
      <c r="C909" s="183"/>
      <c r="D909" s="183"/>
      <c r="E909" s="183"/>
      <c r="F909" s="183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</row>
    <row r="910" spans="1:16" ht="13" customHeight="1">
      <c r="A910" s="183"/>
      <c r="B910" s="183"/>
      <c r="C910" s="183"/>
      <c r="D910" s="183"/>
      <c r="E910" s="183"/>
      <c r="F910" s="183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</row>
    <row r="911" spans="1:16" ht="13" customHeight="1">
      <c r="A911" s="183"/>
      <c r="B911" s="183"/>
      <c r="C911" s="183"/>
      <c r="D911" s="183"/>
      <c r="E911" s="183"/>
      <c r="F911" s="183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</row>
    <row r="912" spans="1:16" ht="13" customHeight="1">
      <c r="A912" s="183"/>
      <c r="B912" s="183"/>
      <c r="C912" s="183"/>
      <c r="D912" s="183"/>
      <c r="E912" s="183"/>
      <c r="F912" s="183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</row>
    <row r="913" spans="1:16" ht="13" customHeight="1">
      <c r="A913" s="183"/>
      <c r="B913" s="183"/>
      <c r="C913" s="183"/>
      <c r="D913" s="183"/>
      <c r="E913" s="183"/>
      <c r="F913" s="183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</row>
    <row r="914" spans="1:16" ht="13" customHeight="1">
      <c r="A914" s="183"/>
      <c r="B914" s="183"/>
      <c r="C914" s="183"/>
      <c r="D914" s="183"/>
      <c r="E914" s="183"/>
      <c r="F914" s="183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</row>
    <row r="915" spans="1:16" ht="13" customHeight="1">
      <c r="A915" s="183"/>
      <c r="B915" s="183"/>
      <c r="C915" s="183"/>
      <c r="D915" s="183"/>
      <c r="E915" s="183"/>
      <c r="F915" s="183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</row>
    <row r="916" spans="1:16" ht="13" customHeight="1">
      <c r="A916" s="183"/>
      <c r="B916" s="183"/>
      <c r="C916" s="183"/>
      <c r="D916" s="183"/>
      <c r="E916" s="183"/>
      <c r="F916" s="183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</row>
    <row r="917" spans="1:16" ht="13" customHeight="1">
      <c r="A917" s="183"/>
      <c r="B917" s="183"/>
      <c r="C917" s="183"/>
      <c r="D917" s="183"/>
      <c r="E917" s="183"/>
      <c r="F917" s="183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</row>
    <row r="918" spans="1:16" ht="13" customHeight="1">
      <c r="A918" s="183"/>
      <c r="B918" s="183"/>
      <c r="C918" s="183"/>
      <c r="D918" s="183"/>
      <c r="E918" s="183"/>
      <c r="F918" s="183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</row>
    <row r="919" spans="1:16" ht="13" customHeight="1">
      <c r="A919" s="183"/>
      <c r="B919" s="183"/>
      <c r="C919" s="183"/>
      <c r="D919" s="183"/>
      <c r="E919" s="183"/>
      <c r="F919" s="183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</row>
    <row r="920" spans="1:16" ht="13" customHeight="1">
      <c r="A920" s="183"/>
      <c r="B920" s="183"/>
      <c r="C920" s="183"/>
      <c r="D920" s="183"/>
      <c r="E920" s="183"/>
      <c r="F920" s="183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</row>
    <row r="921" spans="1:16" ht="13" customHeight="1">
      <c r="A921" s="183"/>
      <c r="B921" s="183"/>
      <c r="C921" s="183"/>
      <c r="D921" s="183"/>
      <c r="E921" s="183"/>
      <c r="F921" s="183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</row>
    <row r="922" spans="1:16" ht="13" customHeight="1">
      <c r="A922" s="183"/>
      <c r="B922" s="183"/>
      <c r="C922" s="183"/>
      <c r="D922" s="183"/>
      <c r="E922" s="183"/>
      <c r="F922" s="183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</row>
    <row r="923" spans="1:16" ht="13" customHeight="1">
      <c r="A923" s="183"/>
      <c r="B923" s="183"/>
      <c r="C923" s="183"/>
      <c r="D923" s="183"/>
      <c r="E923" s="183"/>
      <c r="F923" s="183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</row>
    <row r="924" spans="1:16" ht="13" customHeight="1">
      <c r="A924" s="183"/>
      <c r="B924" s="183"/>
      <c r="C924" s="183"/>
      <c r="D924" s="183"/>
      <c r="E924" s="183"/>
      <c r="F924" s="183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</row>
    <row r="925" spans="1:16" ht="13" customHeight="1">
      <c r="A925" s="183"/>
      <c r="B925" s="183"/>
      <c r="C925" s="183"/>
      <c r="D925" s="183"/>
      <c r="E925" s="183"/>
      <c r="F925" s="183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</row>
    <row r="926" spans="1:16" ht="13" customHeight="1">
      <c r="A926" s="183"/>
      <c r="B926" s="183"/>
      <c r="C926" s="183"/>
      <c r="D926" s="183"/>
      <c r="E926" s="183"/>
      <c r="F926" s="183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</row>
    <row r="927" spans="1:16" ht="13" customHeight="1">
      <c r="A927" s="183"/>
      <c r="B927" s="183"/>
      <c r="C927" s="183"/>
      <c r="D927" s="183"/>
      <c r="E927" s="183"/>
      <c r="F927" s="183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</row>
    <row r="928" spans="1:16" ht="13" customHeight="1">
      <c r="A928" s="183"/>
      <c r="B928" s="183"/>
      <c r="C928" s="183"/>
      <c r="D928" s="183"/>
      <c r="E928" s="183"/>
      <c r="F928" s="183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</row>
    <row r="929" spans="1:16" ht="13" customHeight="1">
      <c r="A929" s="183"/>
      <c r="B929" s="183"/>
      <c r="C929" s="183"/>
      <c r="D929" s="183"/>
      <c r="E929" s="183"/>
      <c r="F929" s="183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</row>
    <row r="930" spans="1:16" ht="13" customHeight="1">
      <c r="A930" s="183"/>
      <c r="B930" s="183"/>
      <c r="C930" s="183"/>
      <c r="D930" s="183"/>
      <c r="E930" s="183"/>
      <c r="F930" s="183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</row>
    <row r="931" spans="1:16" ht="13" customHeight="1">
      <c r="A931" s="183"/>
      <c r="B931" s="183"/>
      <c r="C931" s="183"/>
      <c r="D931" s="183"/>
      <c r="E931" s="183"/>
      <c r="F931" s="183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</row>
    <row r="932" spans="1:16" ht="13" customHeight="1">
      <c r="A932" s="183"/>
      <c r="B932" s="183"/>
      <c r="C932" s="183"/>
      <c r="D932" s="183"/>
      <c r="E932" s="183"/>
      <c r="F932" s="183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</row>
    <row r="933" spans="1:16" ht="13" customHeight="1">
      <c r="A933" s="183"/>
      <c r="B933" s="183"/>
      <c r="C933" s="183"/>
      <c r="D933" s="183"/>
      <c r="E933" s="183"/>
      <c r="F933" s="183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</row>
    <row r="934" spans="1:16" ht="13" customHeight="1">
      <c r="A934" s="183"/>
      <c r="B934" s="183"/>
      <c r="C934" s="183"/>
      <c r="D934" s="183"/>
      <c r="E934" s="183"/>
      <c r="F934" s="183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</row>
    <row r="935" spans="1:16" ht="13" customHeight="1">
      <c r="A935" s="183"/>
      <c r="B935" s="183"/>
      <c r="C935" s="183"/>
      <c r="D935" s="183"/>
      <c r="E935" s="183"/>
      <c r="F935" s="183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</row>
    <row r="936" spans="1:16" ht="13" customHeight="1">
      <c r="A936" s="183"/>
      <c r="B936" s="183"/>
      <c r="C936" s="183"/>
      <c r="D936" s="183"/>
      <c r="E936" s="183"/>
      <c r="F936" s="183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</row>
    <row r="937" spans="1:16" ht="13" customHeight="1">
      <c r="A937" s="183"/>
      <c r="B937" s="183"/>
      <c r="C937" s="183"/>
      <c r="D937" s="183"/>
      <c r="E937" s="183"/>
      <c r="F937" s="183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</row>
    <row r="938" spans="1:16" ht="13" customHeight="1">
      <c r="A938" s="183"/>
      <c r="B938" s="183"/>
      <c r="C938" s="183"/>
      <c r="D938" s="183"/>
      <c r="E938" s="183"/>
      <c r="F938" s="183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</row>
    <row r="939" spans="1:16" ht="13" customHeight="1">
      <c r="A939" s="183"/>
      <c r="B939" s="183"/>
      <c r="C939" s="183"/>
      <c r="D939" s="183"/>
      <c r="E939" s="183"/>
      <c r="F939" s="183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</row>
    <row r="940" spans="1:16" ht="13" customHeight="1">
      <c r="A940" s="183"/>
      <c r="B940" s="183"/>
      <c r="C940" s="183"/>
      <c r="D940" s="183"/>
      <c r="E940" s="183"/>
      <c r="F940" s="183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</row>
    <row r="941" spans="1:16" ht="13" customHeight="1">
      <c r="A941" s="183"/>
      <c r="B941" s="183"/>
      <c r="C941" s="183"/>
      <c r="D941" s="183"/>
      <c r="E941" s="183"/>
      <c r="F941" s="183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</row>
    <row r="942" spans="1:16" ht="13" customHeight="1">
      <c r="A942" s="183"/>
      <c r="B942" s="183"/>
      <c r="C942" s="183"/>
      <c r="D942" s="183"/>
      <c r="E942" s="183"/>
      <c r="F942" s="183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</row>
    <row r="943" spans="1:16" ht="13" customHeight="1">
      <c r="A943" s="183"/>
      <c r="B943" s="183"/>
      <c r="C943" s="183"/>
      <c r="D943" s="183"/>
      <c r="E943" s="183"/>
      <c r="F943" s="183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</row>
    <row r="944" spans="1:16" ht="13" customHeight="1">
      <c r="A944" s="183"/>
      <c r="B944" s="183"/>
      <c r="C944" s="183"/>
      <c r="D944" s="183"/>
      <c r="E944" s="183"/>
      <c r="F944" s="183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</row>
    <row r="945" spans="1:16" ht="13" customHeight="1">
      <c r="A945" s="183"/>
      <c r="B945" s="183"/>
      <c r="C945" s="183"/>
      <c r="D945" s="183"/>
      <c r="E945" s="183"/>
      <c r="F945" s="183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</row>
    <row r="946" spans="1:16" ht="13" customHeight="1">
      <c r="A946" s="183"/>
      <c r="B946" s="183"/>
      <c r="C946" s="183"/>
      <c r="D946" s="183"/>
      <c r="E946" s="183"/>
      <c r="F946" s="183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</row>
    <row r="947" spans="1:16" ht="13" customHeight="1">
      <c r="A947" s="183"/>
      <c r="B947" s="183"/>
      <c r="C947" s="183"/>
      <c r="D947" s="183"/>
      <c r="E947" s="183"/>
      <c r="F947" s="183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</row>
    <row r="948" spans="1:16" ht="13" customHeight="1">
      <c r="A948" s="183"/>
      <c r="B948" s="183"/>
      <c r="C948" s="183"/>
      <c r="D948" s="183"/>
      <c r="E948" s="183"/>
      <c r="F948" s="183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</row>
    <row r="949" spans="1:16" ht="13" customHeight="1">
      <c r="A949" s="183"/>
      <c r="B949" s="183"/>
      <c r="C949" s="183"/>
      <c r="D949" s="183"/>
      <c r="E949" s="183"/>
      <c r="F949" s="183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</row>
    <row r="950" spans="1:16" ht="13" customHeight="1">
      <c r="A950" s="183"/>
      <c r="B950" s="183"/>
      <c r="C950" s="183"/>
      <c r="D950" s="183"/>
      <c r="E950" s="183"/>
      <c r="F950" s="183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</row>
    <row r="951" spans="1:16" ht="13" customHeight="1">
      <c r="A951" s="183"/>
      <c r="B951" s="183"/>
      <c r="C951" s="183"/>
      <c r="D951" s="183"/>
      <c r="E951" s="183"/>
      <c r="F951" s="183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</row>
    <row r="952" spans="1:16" ht="13" customHeight="1">
      <c r="A952" s="183"/>
      <c r="B952" s="183"/>
      <c r="C952" s="183"/>
      <c r="D952" s="183"/>
      <c r="E952" s="183"/>
      <c r="F952" s="183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</row>
    <row r="953" spans="1:16" ht="13" customHeight="1">
      <c r="A953" s="183"/>
      <c r="B953" s="183"/>
      <c r="C953" s="183"/>
      <c r="D953" s="183"/>
      <c r="E953" s="183"/>
      <c r="F953" s="183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</row>
    <row r="954" spans="1:16" ht="13" customHeight="1">
      <c r="A954" s="183"/>
      <c r="B954" s="183"/>
      <c r="C954" s="183"/>
      <c r="D954" s="183"/>
      <c r="E954" s="183"/>
      <c r="F954" s="183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</row>
    <row r="955" spans="1:16" ht="13" customHeight="1">
      <c r="A955" s="183"/>
      <c r="B955" s="183"/>
      <c r="C955" s="183"/>
      <c r="D955" s="183"/>
      <c r="E955" s="183"/>
      <c r="F955" s="183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</row>
    <row r="956" spans="1:16" ht="13" customHeight="1">
      <c r="A956" s="183"/>
      <c r="B956" s="183"/>
      <c r="C956" s="183"/>
      <c r="D956" s="183"/>
      <c r="E956" s="183"/>
      <c r="F956" s="183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</row>
    <row r="957" spans="1:16" ht="13" customHeight="1">
      <c r="A957" s="183"/>
      <c r="B957" s="183"/>
      <c r="C957" s="183"/>
      <c r="D957" s="183"/>
      <c r="E957" s="183"/>
      <c r="F957" s="183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</row>
    <row r="958" spans="1:16" ht="13" customHeight="1">
      <c r="A958" s="183"/>
      <c r="B958" s="183"/>
      <c r="C958" s="183"/>
      <c r="D958" s="183"/>
      <c r="E958" s="183"/>
      <c r="F958" s="183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</row>
    <row r="959" spans="1:16" ht="13" customHeight="1">
      <c r="A959" s="183"/>
      <c r="B959" s="183"/>
      <c r="C959" s="183"/>
      <c r="D959" s="183"/>
      <c r="E959" s="183"/>
      <c r="F959" s="183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</row>
    <row r="960" spans="1:16" ht="13" customHeight="1">
      <c r="A960" s="183"/>
      <c r="B960" s="183"/>
      <c r="C960" s="183"/>
      <c r="D960" s="183"/>
      <c r="E960" s="183"/>
      <c r="F960" s="183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</row>
    <row r="961" spans="1:16" ht="13" customHeight="1">
      <c r="A961" s="183"/>
      <c r="B961" s="183"/>
      <c r="C961" s="183"/>
      <c r="D961" s="183"/>
      <c r="E961" s="183"/>
      <c r="F961" s="183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</row>
    <row r="962" spans="1:16" ht="13" customHeight="1">
      <c r="A962" s="183"/>
      <c r="B962" s="183"/>
      <c r="C962" s="183"/>
      <c r="D962" s="183"/>
      <c r="E962" s="183"/>
      <c r="F962" s="183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</row>
    <row r="963" spans="1:16" ht="13" customHeight="1">
      <c r="A963" s="183"/>
      <c r="B963" s="183"/>
      <c r="C963" s="183"/>
      <c r="D963" s="183"/>
      <c r="E963" s="183"/>
      <c r="F963" s="183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</row>
    <row r="964" spans="1:16" ht="13" customHeight="1">
      <c r="A964" s="183"/>
      <c r="B964" s="183"/>
      <c r="C964" s="183"/>
      <c r="D964" s="183"/>
      <c r="E964" s="183"/>
      <c r="F964" s="183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</row>
    <row r="965" spans="1:16" ht="13" customHeight="1">
      <c r="A965" s="183"/>
      <c r="B965" s="183"/>
      <c r="C965" s="183"/>
      <c r="D965" s="183"/>
      <c r="E965" s="183"/>
      <c r="F965" s="183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</row>
    <row r="966" spans="1:16" ht="13" customHeight="1">
      <c r="A966" s="183"/>
      <c r="B966" s="183"/>
      <c r="C966" s="183"/>
      <c r="D966" s="183"/>
      <c r="E966" s="183"/>
      <c r="F966" s="183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</row>
    <row r="967" spans="1:16" ht="13" customHeight="1">
      <c r="A967" s="183"/>
      <c r="B967" s="183"/>
      <c r="C967" s="183"/>
      <c r="D967" s="183"/>
      <c r="E967" s="183"/>
      <c r="F967" s="183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</row>
    <row r="968" spans="1:16" ht="13" customHeight="1">
      <c r="A968" s="183"/>
      <c r="B968" s="183"/>
      <c r="C968" s="183"/>
      <c r="D968" s="183"/>
      <c r="E968" s="183"/>
      <c r="F968" s="183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</row>
    <row r="969" spans="1:16" ht="13" customHeight="1">
      <c r="A969" s="183"/>
      <c r="B969" s="183"/>
      <c r="C969" s="183"/>
      <c r="D969" s="183"/>
      <c r="E969" s="183"/>
      <c r="F969" s="183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</row>
    <row r="970" spans="1:16" ht="13" customHeight="1">
      <c r="A970" s="183"/>
      <c r="B970" s="183"/>
      <c r="C970" s="183"/>
      <c r="D970" s="183"/>
      <c r="E970" s="183"/>
      <c r="F970" s="183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</row>
    <row r="971" spans="1:16" ht="13" customHeight="1">
      <c r="A971" s="183"/>
      <c r="B971" s="183"/>
      <c r="C971" s="183"/>
      <c r="D971" s="183"/>
      <c r="E971" s="183"/>
      <c r="F971" s="183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</row>
    <row r="972" spans="1:16" ht="13" customHeight="1">
      <c r="A972" s="183"/>
      <c r="B972" s="183"/>
      <c r="C972" s="183"/>
      <c r="D972" s="183"/>
      <c r="E972" s="183"/>
      <c r="F972" s="183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</row>
    <row r="973" spans="1:16" ht="13" customHeight="1">
      <c r="A973" s="183"/>
      <c r="B973" s="183"/>
      <c r="C973" s="183"/>
      <c r="D973" s="183"/>
      <c r="E973" s="183"/>
      <c r="F973" s="183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</row>
    <row r="974" spans="1:16" ht="13" customHeight="1">
      <c r="A974" s="183"/>
      <c r="B974" s="183"/>
      <c r="C974" s="183"/>
      <c r="D974" s="183"/>
      <c r="E974" s="183"/>
      <c r="F974" s="183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</row>
    <row r="975" spans="1:16" ht="13" customHeight="1">
      <c r="A975" s="183"/>
      <c r="B975" s="183"/>
      <c r="C975" s="183"/>
      <c r="D975" s="183"/>
      <c r="E975" s="183"/>
      <c r="F975" s="183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</row>
    <row r="976" spans="1:16" ht="13" customHeight="1">
      <c r="A976" s="183"/>
      <c r="B976" s="183"/>
      <c r="C976" s="183"/>
      <c r="D976" s="183"/>
      <c r="E976" s="183"/>
      <c r="F976" s="183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</row>
    <row r="977" spans="1:16" ht="13" customHeight="1">
      <c r="A977" s="183"/>
      <c r="B977" s="183"/>
      <c r="C977" s="183"/>
      <c r="D977" s="183"/>
      <c r="E977" s="183"/>
      <c r="F977" s="183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</row>
    <row r="978" spans="1:16" ht="13" customHeight="1">
      <c r="A978" s="183"/>
      <c r="B978" s="183"/>
      <c r="C978" s="183"/>
      <c r="D978" s="183"/>
      <c r="E978" s="183"/>
      <c r="F978" s="183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</row>
    <row r="979" spans="1:16" ht="13" customHeight="1">
      <c r="A979" s="183"/>
      <c r="B979" s="183"/>
      <c r="C979" s="183"/>
      <c r="D979" s="183"/>
      <c r="E979" s="183"/>
      <c r="F979" s="183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</row>
    <row r="980" spans="1:16" ht="13" customHeight="1">
      <c r="A980" s="183"/>
      <c r="B980" s="183"/>
      <c r="C980" s="183"/>
      <c r="D980" s="183"/>
      <c r="E980" s="183"/>
      <c r="F980" s="183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</row>
    <row r="981" spans="1:16" ht="13" customHeight="1">
      <c r="A981" s="183"/>
      <c r="B981" s="183"/>
      <c r="C981" s="183"/>
      <c r="D981" s="183"/>
      <c r="E981" s="183"/>
      <c r="F981" s="183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</row>
    <row r="982" spans="1:16" ht="13" customHeight="1">
      <c r="A982" s="183"/>
      <c r="B982" s="183"/>
      <c r="C982" s="183"/>
      <c r="D982" s="183"/>
      <c r="E982" s="183"/>
      <c r="F982" s="183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</row>
    <row r="983" spans="1:16" ht="13" customHeight="1">
      <c r="A983" s="183"/>
      <c r="B983" s="183"/>
      <c r="C983" s="183"/>
      <c r="D983" s="183"/>
      <c r="E983" s="183"/>
      <c r="F983" s="183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</row>
    <row r="984" spans="1:16" ht="13" customHeight="1">
      <c r="A984" s="183"/>
      <c r="B984" s="183"/>
      <c r="C984" s="183"/>
      <c r="D984" s="183"/>
      <c r="E984" s="183"/>
      <c r="F984" s="183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</row>
    <row r="985" spans="1:16" ht="13" customHeight="1">
      <c r="A985" s="183"/>
      <c r="B985" s="183"/>
      <c r="C985" s="183"/>
      <c r="D985" s="183"/>
      <c r="E985" s="183"/>
      <c r="F985" s="183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</row>
    <row r="986" spans="1:16" ht="13" customHeight="1">
      <c r="A986" s="183"/>
      <c r="B986" s="183"/>
      <c r="C986" s="183"/>
      <c r="D986" s="183"/>
      <c r="E986" s="183"/>
      <c r="F986" s="183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</row>
    <row r="987" spans="1:16" ht="13" customHeight="1">
      <c r="A987" s="183"/>
      <c r="B987" s="183"/>
      <c r="C987" s="183"/>
      <c r="D987" s="183"/>
      <c r="E987" s="183"/>
      <c r="F987" s="183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</row>
    <row r="988" spans="1:16" ht="13" customHeight="1">
      <c r="A988" s="183"/>
      <c r="B988" s="183"/>
      <c r="C988" s="183"/>
      <c r="D988" s="183"/>
      <c r="E988" s="183"/>
      <c r="F988" s="183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</row>
    <row r="989" spans="1:16" ht="13" customHeight="1">
      <c r="A989" s="183"/>
      <c r="B989" s="183"/>
      <c r="C989" s="183"/>
      <c r="D989" s="183"/>
      <c r="E989" s="183"/>
      <c r="F989" s="183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</row>
    <row r="990" spans="1:16" ht="13" customHeight="1">
      <c r="A990" s="183"/>
      <c r="B990" s="183"/>
      <c r="C990" s="183"/>
      <c r="D990" s="183"/>
      <c r="E990" s="183"/>
      <c r="F990" s="183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</row>
    <row r="991" spans="1:16" ht="13" customHeight="1">
      <c r="A991" s="183"/>
      <c r="B991" s="183"/>
      <c r="C991" s="183"/>
      <c r="D991" s="183"/>
      <c r="E991" s="183"/>
      <c r="F991" s="183"/>
      <c r="G991" s="183"/>
      <c r="H991" s="183"/>
      <c r="I991" s="183"/>
      <c r="J991" s="183"/>
      <c r="K991" s="183"/>
      <c r="L991" s="183"/>
      <c r="M991" s="183"/>
      <c r="N991" s="183"/>
      <c r="O991" s="183"/>
      <c r="P991" s="183"/>
    </row>
    <row r="992" spans="1:16" ht="13" customHeight="1">
      <c r="A992" s="183"/>
      <c r="B992" s="183"/>
      <c r="C992" s="183"/>
      <c r="D992" s="183"/>
      <c r="E992" s="183"/>
      <c r="F992" s="183"/>
      <c r="G992" s="183"/>
      <c r="H992" s="183"/>
      <c r="I992" s="183"/>
      <c r="J992" s="183"/>
      <c r="K992" s="183"/>
      <c r="L992" s="183"/>
      <c r="M992" s="183"/>
      <c r="N992" s="183"/>
      <c r="O992" s="183"/>
      <c r="P992" s="183"/>
    </row>
    <row r="993" spans="1:16" ht="13" customHeight="1">
      <c r="A993" s="183"/>
      <c r="B993" s="183"/>
      <c r="C993" s="183"/>
      <c r="D993" s="183"/>
      <c r="E993" s="183"/>
      <c r="F993" s="183"/>
      <c r="G993" s="183"/>
      <c r="H993" s="183"/>
      <c r="I993" s="183"/>
      <c r="J993" s="183"/>
      <c r="K993" s="183"/>
      <c r="L993" s="183"/>
      <c r="M993" s="183"/>
      <c r="N993" s="183"/>
      <c r="O993" s="183"/>
      <c r="P993" s="183"/>
    </row>
    <row r="994" spans="1:16" ht="13" customHeight="1">
      <c r="A994" s="183"/>
      <c r="B994" s="183"/>
      <c r="C994" s="183"/>
      <c r="D994" s="183"/>
      <c r="E994" s="183"/>
      <c r="F994" s="183"/>
      <c r="G994" s="183"/>
      <c r="H994" s="183"/>
      <c r="I994" s="183"/>
      <c r="J994" s="183"/>
      <c r="K994" s="183"/>
      <c r="L994" s="183"/>
      <c r="M994" s="183"/>
      <c r="N994" s="183"/>
      <c r="O994" s="183"/>
      <c r="P994" s="183"/>
    </row>
    <row r="995" spans="1:16" ht="13" customHeight="1">
      <c r="A995" s="183"/>
      <c r="B995" s="183"/>
      <c r="C995" s="183"/>
      <c r="D995" s="183"/>
      <c r="E995" s="183"/>
      <c r="F995" s="183"/>
      <c r="G995" s="183"/>
      <c r="H995" s="183"/>
      <c r="I995" s="183"/>
      <c r="J995" s="183"/>
      <c r="K995" s="183"/>
      <c r="L995" s="183"/>
      <c r="M995" s="183"/>
      <c r="N995" s="183"/>
      <c r="O995" s="183"/>
      <c r="P995" s="183"/>
    </row>
    <row r="996" spans="1:16" ht="13" customHeight="1">
      <c r="A996" s="183"/>
      <c r="B996" s="183"/>
      <c r="C996" s="183"/>
      <c r="D996" s="183"/>
      <c r="E996" s="183"/>
      <c r="F996" s="183"/>
      <c r="G996" s="183"/>
      <c r="H996" s="183"/>
      <c r="I996" s="183"/>
      <c r="J996" s="183"/>
      <c r="K996" s="183"/>
      <c r="L996" s="183"/>
      <c r="M996" s="183"/>
      <c r="N996" s="183"/>
      <c r="O996" s="183"/>
      <c r="P996" s="183"/>
    </row>
    <row r="997" spans="1:16" ht="13" customHeight="1">
      <c r="A997" s="183"/>
      <c r="B997" s="183"/>
      <c r="C997" s="183"/>
      <c r="D997" s="183"/>
      <c r="E997" s="183"/>
      <c r="F997" s="183"/>
      <c r="G997" s="183"/>
      <c r="H997" s="183"/>
      <c r="I997" s="183"/>
      <c r="J997" s="183"/>
      <c r="K997" s="183"/>
      <c r="L997" s="183"/>
      <c r="M997" s="183"/>
      <c r="N997" s="183"/>
      <c r="O997" s="183"/>
      <c r="P997" s="183"/>
    </row>
    <row r="998" spans="1:16" ht="13" customHeight="1">
      <c r="A998" s="183"/>
      <c r="B998" s="183"/>
      <c r="C998" s="183"/>
      <c r="D998" s="183"/>
      <c r="E998" s="183"/>
      <c r="F998" s="183"/>
      <c r="G998" s="183"/>
      <c r="H998" s="183"/>
      <c r="I998" s="183"/>
      <c r="J998" s="183"/>
      <c r="K998" s="183"/>
      <c r="L998" s="183"/>
      <c r="M998" s="183"/>
      <c r="N998" s="183"/>
      <c r="O998" s="183"/>
      <c r="P998" s="183"/>
    </row>
    <row r="999" spans="1:16" ht="13" customHeight="1">
      <c r="A999" s="183"/>
      <c r="B999" s="183"/>
      <c r="C999" s="183"/>
      <c r="D999" s="183"/>
      <c r="E999" s="183"/>
      <c r="F999" s="183"/>
      <c r="G999" s="183"/>
      <c r="H999" s="183"/>
      <c r="I999" s="183"/>
      <c r="J999" s="183"/>
      <c r="K999" s="183"/>
      <c r="L999" s="183"/>
      <c r="M999" s="183"/>
      <c r="N999" s="183"/>
      <c r="O999" s="183"/>
      <c r="P999" s="183"/>
    </row>
    <row r="1000" spans="1:16" ht="13" customHeight="1">
      <c r="A1000" s="183"/>
      <c r="B1000" s="183"/>
      <c r="C1000" s="183"/>
      <c r="D1000" s="183"/>
      <c r="E1000" s="183"/>
      <c r="F1000" s="183"/>
      <c r="G1000" s="183"/>
      <c r="H1000" s="183"/>
      <c r="I1000" s="183"/>
      <c r="J1000" s="183"/>
      <c r="K1000" s="183"/>
      <c r="L1000" s="183"/>
      <c r="M1000" s="183"/>
      <c r="N1000" s="183"/>
      <c r="O1000" s="183"/>
      <c r="P1000" s="183"/>
    </row>
    <row r="1001" spans="1:16" ht="13" customHeight="1">
      <c r="A1001" s="183"/>
      <c r="B1001" s="183"/>
      <c r="C1001" s="183"/>
      <c r="D1001" s="183"/>
      <c r="E1001" s="183"/>
      <c r="F1001" s="183"/>
      <c r="G1001" s="183"/>
      <c r="H1001" s="183"/>
      <c r="I1001" s="183"/>
      <c r="J1001" s="183"/>
      <c r="K1001" s="183"/>
      <c r="L1001" s="183"/>
      <c r="M1001" s="183"/>
      <c r="N1001" s="183"/>
      <c r="O1001" s="183"/>
      <c r="P1001" s="183"/>
    </row>
    <row r="1002" spans="1:16" ht="13" customHeight="1">
      <c r="A1002" s="183"/>
      <c r="B1002" s="183"/>
      <c r="C1002" s="183"/>
      <c r="D1002" s="183"/>
      <c r="E1002" s="183"/>
      <c r="F1002" s="183"/>
      <c r="G1002" s="183"/>
      <c r="H1002" s="183"/>
      <c r="I1002" s="183"/>
      <c r="J1002" s="183"/>
      <c r="K1002" s="183"/>
      <c r="L1002" s="183"/>
      <c r="M1002" s="183"/>
      <c r="N1002" s="183"/>
      <c r="O1002" s="183"/>
      <c r="P1002" s="183"/>
    </row>
    <row r="1003" spans="1:16" ht="13" customHeight="1">
      <c r="A1003" s="183"/>
      <c r="B1003" s="183"/>
      <c r="C1003" s="183"/>
      <c r="D1003" s="183"/>
      <c r="E1003" s="183"/>
      <c r="F1003" s="183"/>
      <c r="G1003" s="183"/>
      <c r="H1003" s="183"/>
      <c r="I1003" s="183"/>
      <c r="J1003" s="183"/>
      <c r="K1003" s="183"/>
      <c r="L1003" s="183"/>
      <c r="M1003" s="183"/>
      <c r="N1003" s="183"/>
      <c r="O1003" s="183"/>
      <c r="P1003" s="183"/>
    </row>
    <row r="1004" spans="1:16" ht="13" customHeight="1">
      <c r="A1004" s="183"/>
      <c r="B1004" s="183"/>
      <c r="C1004" s="183"/>
      <c r="D1004" s="183"/>
      <c r="E1004" s="183"/>
      <c r="F1004" s="183"/>
      <c r="G1004" s="183"/>
      <c r="H1004" s="183"/>
      <c r="I1004" s="183"/>
      <c r="J1004" s="183"/>
      <c r="K1004" s="183"/>
      <c r="L1004" s="183"/>
      <c r="M1004" s="183"/>
      <c r="N1004" s="183"/>
      <c r="O1004" s="183"/>
      <c r="P1004" s="183"/>
    </row>
    <row r="1005" spans="1:16" ht="13" customHeight="1">
      <c r="A1005" s="183"/>
      <c r="B1005" s="183"/>
      <c r="C1005" s="183"/>
      <c r="D1005" s="183"/>
      <c r="E1005" s="183"/>
      <c r="F1005" s="183"/>
      <c r="G1005" s="183"/>
      <c r="H1005" s="183"/>
      <c r="I1005" s="183"/>
      <c r="J1005" s="183"/>
      <c r="K1005" s="183"/>
      <c r="L1005" s="183"/>
      <c r="M1005" s="183"/>
      <c r="N1005" s="183"/>
      <c r="O1005" s="183"/>
      <c r="P1005" s="183"/>
    </row>
    <row r="1006" spans="1:16" ht="13" customHeight="1">
      <c r="A1006" s="183"/>
      <c r="B1006" s="183"/>
      <c r="C1006" s="183"/>
      <c r="D1006" s="183"/>
      <c r="E1006" s="183"/>
      <c r="F1006" s="183"/>
      <c r="G1006" s="183"/>
      <c r="H1006" s="183"/>
      <c r="I1006" s="183"/>
      <c r="J1006" s="183"/>
      <c r="K1006" s="183"/>
      <c r="L1006" s="183"/>
      <c r="M1006" s="183"/>
      <c r="N1006" s="183"/>
      <c r="O1006" s="183"/>
      <c r="P1006" s="183"/>
    </row>
    <row r="1007" spans="1:16" ht="13" customHeight="1">
      <c r="A1007" s="183"/>
      <c r="B1007" s="183"/>
      <c r="C1007" s="183"/>
      <c r="D1007" s="183"/>
      <c r="E1007" s="183"/>
      <c r="F1007" s="183"/>
      <c r="G1007" s="183"/>
      <c r="H1007" s="183"/>
      <c r="I1007" s="183"/>
      <c r="J1007" s="183"/>
      <c r="K1007" s="183"/>
      <c r="L1007" s="183"/>
      <c r="M1007" s="183"/>
      <c r="N1007" s="183"/>
      <c r="O1007" s="183"/>
      <c r="P1007" s="183"/>
    </row>
    <row r="1008" spans="1:16" ht="13" customHeight="1">
      <c r="A1008" s="183"/>
      <c r="B1008" s="183"/>
      <c r="C1008" s="183"/>
      <c r="D1008" s="183"/>
      <c r="E1008" s="183"/>
      <c r="F1008" s="183"/>
      <c r="G1008" s="183"/>
      <c r="H1008" s="183"/>
      <c r="I1008" s="183"/>
      <c r="J1008" s="183"/>
      <c r="K1008" s="183"/>
      <c r="L1008" s="183"/>
      <c r="M1008" s="183"/>
      <c r="N1008" s="183"/>
      <c r="O1008" s="183"/>
      <c r="P1008" s="183"/>
    </row>
    <row r="1009" spans="1:16" ht="13" customHeight="1">
      <c r="A1009" s="183"/>
      <c r="B1009" s="183"/>
      <c r="C1009" s="183"/>
      <c r="D1009" s="183"/>
      <c r="E1009" s="183"/>
      <c r="F1009" s="183"/>
      <c r="G1009" s="183"/>
      <c r="H1009" s="183"/>
      <c r="I1009" s="183"/>
      <c r="J1009" s="183"/>
      <c r="K1009" s="183"/>
      <c r="L1009" s="183"/>
      <c r="M1009" s="183"/>
      <c r="N1009" s="183"/>
      <c r="O1009" s="183"/>
      <c r="P1009" s="183"/>
    </row>
    <row r="1010" spans="1:16" ht="13" customHeight="1">
      <c r="A1010" s="183"/>
      <c r="B1010" s="183"/>
      <c r="C1010" s="183"/>
      <c r="D1010" s="183"/>
      <c r="E1010" s="183"/>
      <c r="F1010" s="183"/>
      <c r="G1010" s="183"/>
      <c r="H1010" s="183"/>
      <c r="I1010" s="183"/>
      <c r="J1010" s="183"/>
      <c r="K1010" s="183"/>
      <c r="L1010" s="183"/>
      <c r="M1010" s="183"/>
      <c r="N1010" s="183"/>
      <c r="O1010" s="183"/>
      <c r="P1010" s="183"/>
    </row>
    <row r="1011" spans="1:16" ht="13" customHeight="1">
      <c r="A1011" s="183"/>
      <c r="B1011" s="183"/>
      <c r="C1011" s="183"/>
      <c r="D1011" s="183"/>
      <c r="E1011" s="183"/>
      <c r="F1011" s="183"/>
      <c r="G1011" s="183"/>
      <c r="H1011" s="183"/>
      <c r="I1011" s="183"/>
      <c r="J1011" s="183"/>
      <c r="K1011" s="183"/>
      <c r="L1011" s="183"/>
      <c r="M1011" s="183"/>
      <c r="N1011" s="183"/>
      <c r="O1011" s="183"/>
      <c r="P1011" s="183"/>
    </row>
    <row r="1012" spans="1:16" ht="13" customHeight="1">
      <c r="A1012" s="183"/>
      <c r="B1012" s="183"/>
      <c r="C1012" s="183"/>
      <c r="D1012" s="183"/>
      <c r="E1012" s="183"/>
      <c r="F1012" s="183"/>
      <c r="G1012" s="183"/>
      <c r="H1012" s="183"/>
      <c r="I1012" s="183"/>
      <c r="J1012" s="183"/>
      <c r="K1012" s="183"/>
      <c r="L1012" s="183"/>
      <c r="M1012" s="183"/>
      <c r="N1012" s="183"/>
      <c r="O1012" s="183"/>
      <c r="P1012" s="183"/>
    </row>
    <row r="1013" spans="1:16" ht="13" customHeight="1">
      <c r="A1013" s="183"/>
      <c r="B1013" s="183"/>
      <c r="C1013" s="183"/>
      <c r="D1013" s="183"/>
      <c r="E1013" s="183"/>
      <c r="F1013" s="183"/>
      <c r="G1013" s="183"/>
      <c r="H1013" s="183"/>
      <c r="I1013" s="183"/>
      <c r="J1013" s="183"/>
      <c r="K1013" s="183"/>
      <c r="L1013" s="183"/>
      <c r="M1013" s="183"/>
      <c r="N1013" s="183"/>
      <c r="O1013" s="183"/>
      <c r="P1013" s="183"/>
    </row>
    <row r="1014" spans="1:16" ht="13" customHeight="1">
      <c r="A1014" s="183"/>
      <c r="B1014" s="183"/>
      <c r="C1014" s="183"/>
      <c r="D1014" s="183"/>
      <c r="E1014" s="183"/>
      <c r="F1014" s="183"/>
      <c r="G1014" s="183"/>
      <c r="H1014" s="183"/>
      <c r="I1014" s="183"/>
      <c r="J1014" s="183"/>
      <c r="K1014" s="183"/>
      <c r="L1014" s="183"/>
      <c r="M1014" s="183"/>
      <c r="N1014" s="183"/>
      <c r="O1014" s="183"/>
      <c r="P1014" s="183"/>
    </row>
    <row r="1015" spans="1:16" ht="13" customHeight="1">
      <c r="A1015" s="183"/>
      <c r="B1015" s="183"/>
      <c r="C1015" s="183"/>
      <c r="D1015" s="183"/>
      <c r="E1015" s="183"/>
      <c r="F1015" s="183"/>
      <c r="G1015" s="183"/>
      <c r="H1015" s="183"/>
      <c r="I1015" s="183"/>
      <c r="J1015" s="183"/>
      <c r="K1015" s="183"/>
      <c r="L1015" s="183"/>
      <c r="M1015" s="183"/>
      <c r="N1015" s="183"/>
      <c r="O1015" s="183"/>
      <c r="P1015" s="183"/>
    </row>
    <row r="1016" spans="1:16" ht="13" customHeight="1">
      <c r="A1016" s="183"/>
      <c r="B1016" s="183"/>
      <c r="C1016" s="183"/>
      <c r="D1016" s="183"/>
      <c r="E1016" s="183"/>
      <c r="F1016" s="183"/>
      <c r="G1016" s="183"/>
      <c r="H1016" s="183"/>
      <c r="I1016" s="183"/>
      <c r="J1016" s="183"/>
      <c r="K1016" s="183"/>
      <c r="L1016" s="183"/>
      <c r="M1016" s="183"/>
      <c r="N1016" s="183"/>
      <c r="O1016" s="183"/>
      <c r="P1016" s="183"/>
    </row>
    <row r="1017" spans="1:16" ht="13" customHeight="1">
      <c r="A1017" s="183"/>
      <c r="B1017" s="183"/>
      <c r="C1017" s="183"/>
      <c r="D1017" s="183"/>
      <c r="E1017" s="183"/>
      <c r="F1017" s="183"/>
      <c r="G1017" s="183"/>
      <c r="H1017" s="183"/>
      <c r="I1017" s="183"/>
      <c r="J1017" s="183"/>
      <c r="K1017" s="183"/>
      <c r="L1017" s="183"/>
      <c r="M1017" s="183"/>
      <c r="N1017" s="183"/>
      <c r="O1017" s="183"/>
      <c r="P1017" s="183"/>
    </row>
    <row r="1018" spans="1:16" ht="13" customHeight="1">
      <c r="A1018" s="183"/>
      <c r="B1018" s="183"/>
      <c r="C1018" s="183"/>
      <c r="D1018" s="183"/>
      <c r="E1018" s="183"/>
      <c r="F1018" s="183"/>
      <c r="G1018" s="183"/>
      <c r="H1018" s="183"/>
      <c r="I1018" s="183"/>
      <c r="J1018" s="183"/>
      <c r="K1018" s="183"/>
      <c r="L1018" s="183"/>
      <c r="M1018" s="183"/>
      <c r="N1018" s="183"/>
      <c r="O1018" s="183"/>
      <c r="P1018" s="183"/>
    </row>
    <row r="1019" spans="1:16" ht="13" customHeight="1">
      <c r="A1019" s="183"/>
      <c r="B1019" s="183"/>
      <c r="C1019" s="183"/>
      <c r="D1019" s="183"/>
      <c r="E1019" s="183"/>
      <c r="F1019" s="183"/>
      <c r="G1019" s="183"/>
      <c r="H1019" s="183"/>
      <c r="I1019" s="183"/>
      <c r="J1019" s="183"/>
      <c r="K1019" s="183"/>
      <c r="L1019" s="183"/>
      <c r="M1019" s="183"/>
      <c r="N1019" s="183"/>
      <c r="O1019" s="183"/>
      <c r="P1019" s="183"/>
    </row>
    <row r="1020" spans="1:16" ht="13" customHeight="1">
      <c r="A1020" s="183"/>
      <c r="B1020" s="183"/>
      <c r="C1020" s="183"/>
      <c r="D1020" s="183"/>
      <c r="E1020" s="183"/>
      <c r="F1020" s="183"/>
      <c r="G1020" s="183"/>
      <c r="H1020" s="183"/>
      <c r="I1020" s="183"/>
      <c r="J1020" s="183"/>
      <c r="K1020" s="183"/>
      <c r="L1020" s="183"/>
      <c r="M1020" s="183"/>
      <c r="N1020" s="183"/>
      <c r="O1020" s="183"/>
      <c r="P1020" s="183"/>
    </row>
    <row r="1021" spans="1:16" ht="13" customHeight="1">
      <c r="A1021" s="183"/>
      <c r="B1021" s="183"/>
      <c r="C1021" s="183"/>
      <c r="D1021" s="183"/>
      <c r="E1021" s="183"/>
      <c r="F1021" s="183"/>
      <c r="G1021" s="183"/>
      <c r="H1021" s="183"/>
      <c r="I1021" s="183"/>
      <c r="J1021" s="183"/>
      <c r="K1021" s="183"/>
      <c r="L1021" s="183"/>
      <c r="M1021" s="183"/>
      <c r="N1021" s="183"/>
      <c r="O1021" s="183"/>
      <c r="P1021" s="183"/>
    </row>
    <row r="1022" spans="1:16" ht="13" customHeight="1">
      <c r="A1022" s="183"/>
      <c r="B1022" s="183"/>
      <c r="C1022" s="183"/>
      <c r="D1022" s="183"/>
      <c r="E1022" s="183"/>
      <c r="F1022" s="183"/>
      <c r="G1022" s="183"/>
      <c r="H1022" s="183"/>
      <c r="I1022" s="183"/>
      <c r="J1022" s="183"/>
      <c r="K1022" s="183"/>
      <c r="L1022" s="183"/>
      <c r="M1022" s="183"/>
      <c r="N1022" s="183"/>
      <c r="O1022" s="183"/>
      <c r="P1022" s="183"/>
    </row>
    <row r="1023" spans="1:16" ht="13" customHeight="1">
      <c r="A1023" s="183"/>
      <c r="B1023" s="183"/>
      <c r="C1023" s="183"/>
      <c r="D1023" s="183"/>
      <c r="E1023" s="183"/>
      <c r="F1023" s="183"/>
      <c r="G1023" s="183"/>
      <c r="H1023" s="183"/>
      <c r="I1023" s="183"/>
      <c r="J1023" s="183"/>
      <c r="K1023" s="183"/>
      <c r="L1023" s="183"/>
      <c r="M1023" s="183"/>
      <c r="N1023" s="183"/>
      <c r="O1023" s="183"/>
      <c r="P1023" s="183"/>
    </row>
    <row r="1024" spans="1:16" ht="13" customHeight="1">
      <c r="A1024" s="183"/>
      <c r="B1024" s="183"/>
      <c r="C1024" s="183"/>
      <c r="D1024" s="183"/>
      <c r="E1024" s="183"/>
      <c r="F1024" s="183"/>
      <c r="G1024" s="183"/>
      <c r="H1024" s="183"/>
      <c r="I1024" s="183"/>
      <c r="J1024" s="183"/>
      <c r="K1024" s="183"/>
      <c r="L1024" s="183"/>
      <c r="M1024" s="183"/>
      <c r="N1024" s="183"/>
      <c r="O1024" s="183"/>
      <c r="P1024" s="183"/>
    </row>
    <row r="1025" spans="1:16" ht="13" customHeight="1">
      <c r="A1025" s="183"/>
      <c r="B1025" s="183"/>
      <c r="C1025" s="183"/>
      <c r="D1025" s="183"/>
      <c r="E1025" s="183"/>
      <c r="F1025" s="183"/>
      <c r="G1025" s="183"/>
      <c r="H1025" s="183"/>
      <c r="I1025" s="183"/>
      <c r="J1025" s="183"/>
      <c r="K1025" s="183"/>
      <c r="L1025" s="183"/>
      <c r="M1025" s="183"/>
      <c r="N1025" s="183"/>
      <c r="O1025" s="183"/>
      <c r="P1025" s="183"/>
    </row>
    <row r="1026" spans="1:16" ht="13" customHeight="1">
      <c r="A1026" s="183"/>
      <c r="B1026" s="183"/>
      <c r="C1026" s="183"/>
      <c r="D1026" s="183"/>
      <c r="E1026" s="183"/>
      <c r="F1026" s="183"/>
      <c r="G1026" s="183"/>
      <c r="H1026" s="183"/>
      <c r="I1026" s="183"/>
      <c r="J1026" s="183"/>
      <c r="K1026" s="183"/>
      <c r="L1026" s="183"/>
      <c r="M1026" s="183"/>
      <c r="N1026" s="183"/>
      <c r="O1026" s="183"/>
      <c r="P1026" s="183"/>
    </row>
    <row r="1027" spans="1:16" ht="13" customHeight="1">
      <c r="A1027" s="183"/>
      <c r="B1027" s="183"/>
      <c r="C1027" s="183"/>
      <c r="D1027" s="183"/>
      <c r="E1027" s="183"/>
      <c r="F1027" s="183"/>
      <c r="G1027" s="183"/>
      <c r="H1027" s="183"/>
      <c r="I1027" s="183"/>
      <c r="J1027" s="183"/>
      <c r="K1027" s="183"/>
      <c r="L1027" s="183"/>
      <c r="M1027" s="183"/>
      <c r="N1027" s="183"/>
      <c r="O1027" s="183"/>
      <c r="P1027" s="183"/>
    </row>
    <row r="1028" spans="1:16" ht="13" customHeight="1">
      <c r="A1028" s="183"/>
      <c r="B1028" s="183"/>
      <c r="C1028" s="183"/>
      <c r="D1028" s="183"/>
      <c r="E1028" s="183"/>
      <c r="F1028" s="183"/>
      <c r="G1028" s="183"/>
      <c r="H1028" s="183"/>
      <c r="I1028" s="183"/>
      <c r="J1028" s="183"/>
      <c r="K1028" s="183"/>
      <c r="L1028" s="183"/>
      <c r="M1028" s="183"/>
      <c r="N1028" s="183"/>
      <c r="O1028" s="183"/>
      <c r="P1028" s="183"/>
    </row>
    <row r="1029" spans="1:16" ht="13" customHeight="1">
      <c r="A1029" s="183"/>
      <c r="B1029" s="183"/>
      <c r="C1029" s="183"/>
      <c r="D1029" s="183"/>
      <c r="E1029" s="183"/>
      <c r="F1029" s="183"/>
      <c r="G1029" s="183"/>
      <c r="H1029" s="183"/>
      <c r="I1029" s="183"/>
      <c r="J1029" s="183"/>
      <c r="K1029" s="183"/>
      <c r="L1029" s="183"/>
      <c r="M1029" s="183"/>
      <c r="N1029" s="183"/>
      <c r="O1029" s="183"/>
      <c r="P1029" s="183"/>
    </row>
    <row r="1030" spans="1:16" ht="13" customHeight="1">
      <c r="A1030" s="183"/>
      <c r="B1030" s="183"/>
      <c r="C1030" s="183"/>
      <c r="D1030" s="183"/>
      <c r="E1030" s="183"/>
      <c r="F1030" s="183"/>
      <c r="G1030" s="183"/>
      <c r="H1030" s="183"/>
      <c r="I1030" s="183"/>
      <c r="J1030" s="183"/>
      <c r="K1030" s="183"/>
      <c r="L1030" s="183"/>
      <c r="M1030" s="183"/>
      <c r="N1030" s="183"/>
      <c r="O1030" s="183"/>
      <c r="P1030" s="183"/>
    </row>
    <row r="1031" spans="1:16" ht="13" customHeight="1">
      <c r="A1031" s="183"/>
      <c r="B1031" s="183"/>
      <c r="C1031" s="183"/>
      <c r="D1031" s="183"/>
      <c r="E1031" s="183"/>
      <c r="F1031" s="183"/>
      <c r="G1031" s="183"/>
      <c r="H1031" s="183"/>
      <c r="I1031" s="183"/>
      <c r="J1031" s="183"/>
      <c r="K1031" s="183"/>
      <c r="L1031" s="183"/>
      <c r="M1031" s="183"/>
      <c r="N1031" s="183"/>
      <c r="O1031" s="183"/>
      <c r="P1031" s="183"/>
    </row>
    <row r="1032" spans="1:16" ht="13" customHeight="1">
      <c r="A1032" s="183"/>
      <c r="B1032" s="183"/>
      <c r="C1032" s="183"/>
      <c r="D1032" s="183"/>
      <c r="E1032" s="183"/>
      <c r="F1032" s="183"/>
      <c r="G1032" s="183"/>
      <c r="H1032" s="183"/>
      <c r="I1032" s="183"/>
      <c r="J1032" s="183"/>
      <c r="K1032" s="183"/>
      <c r="L1032" s="183"/>
      <c r="M1032" s="183"/>
      <c r="N1032" s="183"/>
      <c r="O1032" s="183"/>
      <c r="P1032" s="183"/>
    </row>
    <row r="1033" spans="1:16" ht="13" customHeight="1">
      <c r="A1033" s="183"/>
      <c r="B1033" s="183"/>
      <c r="C1033" s="183"/>
      <c r="D1033" s="183"/>
      <c r="E1033" s="183"/>
      <c r="F1033" s="183"/>
      <c r="G1033" s="183"/>
      <c r="H1033" s="183"/>
      <c r="I1033" s="183"/>
      <c r="J1033" s="183"/>
      <c r="K1033" s="183"/>
      <c r="L1033" s="183"/>
      <c r="M1033" s="183"/>
      <c r="N1033" s="183"/>
      <c r="O1033" s="183"/>
      <c r="P1033" s="183"/>
    </row>
    <row r="1034" spans="1:16" ht="13" customHeight="1">
      <c r="A1034" s="183"/>
      <c r="B1034" s="183"/>
      <c r="C1034" s="183"/>
      <c r="D1034" s="183"/>
      <c r="E1034" s="183"/>
      <c r="F1034" s="183"/>
      <c r="G1034" s="183"/>
      <c r="H1034" s="183"/>
      <c r="I1034" s="183"/>
      <c r="J1034" s="183"/>
      <c r="K1034" s="183"/>
      <c r="L1034" s="183"/>
      <c r="M1034" s="183"/>
      <c r="N1034" s="183"/>
      <c r="O1034" s="183"/>
      <c r="P1034" s="183"/>
    </row>
    <row r="1035" spans="1:16" ht="13" customHeight="1">
      <c r="A1035" s="183"/>
      <c r="B1035" s="183"/>
      <c r="C1035" s="183"/>
      <c r="D1035" s="183"/>
      <c r="E1035" s="183"/>
      <c r="F1035" s="183"/>
      <c r="G1035" s="183"/>
      <c r="H1035" s="183"/>
      <c r="I1035" s="183"/>
      <c r="J1035" s="183"/>
      <c r="K1035" s="183"/>
      <c r="L1035" s="183"/>
      <c r="M1035" s="183"/>
      <c r="N1035" s="183"/>
      <c r="O1035" s="183"/>
      <c r="P1035" s="183"/>
    </row>
    <row r="1036" spans="1:16" ht="13" customHeight="1">
      <c r="A1036" s="183"/>
      <c r="B1036" s="183"/>
      <c r="C1036" s="183"/>
      <c r="D1036" s="183"/>
      <c r="E1036" s="183"/>
      <c r="F1036" s="183"/>
      <c r="G1036" s="183"/>
      <c r="H1036" s="183"/>
      <c r="I1036" s="183"/>
      <c r="J1036" s="183"/>
      <c r="K1036" s="183"/>
      <c r="L1036" s="183"/>
      <c r="M1036" s="183"/>
      <c r="N1036" s="183"/>
      <c r="O1036" s="183"/>
      <c r="P1036" s="183"/>
    </row>
    <row r="1037" spans="1:16" ht="13" customHeight="1">
      <c r="A1037" s="183"/>
      <c r="B1037" s="183"/>
      <c r="C1037" s="183"/>
      <c r="D1037" s="183"/>
      <c r="E1037" s="183"/>
      <c r="F1037" s="183"/>
      <c r="G1037" s="183"/>
      <c r="H1037" s="183"/>
      <c r="I1037" s="183"/>
      <c r="J1037" s="183"/>
      <c r="K1037" s="183"/>
      <c r="L1037" s="183"/>
      <c r="M1037" s="183"/>
      <c r="N1037" s="183"/>
      <c r="O1037" s="183"/>
      <c r="P1037" s="183"/>
    </row>
    <row r="1038" spans="1:16" ht="13" customHeight="1">
      <c r="A1038" s="183"/>
      <c r="B1038" s="183"/>
      <c r="C1038" s="183"/>
      <c r="D1038" s="183"/>
      <c r="E1038" s="183"/>
      <c r="F1038" s="183"/>
      <c r="G1038" s="183"/>
      <c r="H1038" s="183"/>
      <c r="I1038" s="183"/>
      <c r="J1038" s="183"/>
      <c r="K1038" s="183"/>
      <c r="L1038" s="183"/>
      <c r="M1038" s="183"/>
      <c r="N1038" s="183"/>
      <c r="O1038" s="183"/>
      <c r="P1038" s="183"/>
    </row>
    <row r="1039" spans="1:16" ht="13" customHeight="1">
      <c r="A1039" s="183"/>
      <c r="B1039" s="183"/>
      <c r="C1039" s="183"/>
      <c r="D1039" s="183"/>
      <c r="E1039" s="183"/>
      <c r="F1039" s="183"/>
      <c r="G1039" s="183"/>
      <c r="H1039" s="183"/>
      <c r="I1039" s="183"/>
      <c r="J1039" s="183"/>
      <c r="K1039" s="183"/>
      <c r="L1039" s="183"/>
      <c r="M1039" s="183"/>
      <c r="N1039" s="183"/>
      <c r="O1039" s="183"/>
      <c r="P1039" s="183"/>
    </row>
    <row r="1040" spans="1:16" ht="13" customHeight="1">
      <c r="A1040" s="183"/>
      <c r="B1040" s="183"/>
      <c r="C1040" s="183"/>
      <c r="D1040" s="183"/>
      <c r="E1040" s="183"/>
      <c r="F1040" s="183"/>
      <c r="G1040" s="183"/>
      <c r="H1040" s="183"/>
      <c r="I1040" s="183"/>
      <c r="J1040" s="183"/>
      <c r="K1040" s="183"/>
      <c r="L1040" s="183"/>
      <c r="M1040" s="183"/>
      <c r="N1040" s="183"/>
      <c r="O1040" s="183"/>
      <c r="P1040" s="183"/>
    </row>
    <row r="1041" spans="1:16" ht="13" customHeight="1">
      <c r="A1041" s="183"/>
      <c r="B1041" s="183"/>
      <c r="C1041" s="183"/>
      <c r="D1041" s="183"/>
      <c r="E1041" s="183"/>
      <c r="F1041" s="183"/>
      <c r="G1041" s="183"/>
      <c r="H1041" s="183"/>
      <c r="I1041" s="183"/>
      <c r="J1041" s="183"/>
      <c r="K1041" s="183"/>
      <c r="L1041" s="183"/>
      <c r="M1041" s="183"/>
      <c r="N1041" s="183"/>
      <c r="O1041" s="183"/>
      <c r="P1041" s="183"/>
    </row>
    <row r="1042" spans="1:16" ht="13" customHeight="1">
      <c r="A1042" s="183"/>
      <c r="B1042" s="183"/>
      <c r="C1042" s="183"/>
      <c r="D1042" s="183"/>
      <c r="E1042" s="183"/>
      <c r="F1042" s="183"/>
      <c r="G1042" s="183"/>
      <c r="H1042" s="183"/>
      <c r="I1042" s="183"/>
      <c r="J1042" s="183"/>
      <c r="K1042" s="183"/>
      <c r="L1042" s="183"/>
      <c r="M1042" s="183"/>
      <c r="N1042" s="183"/>
      <c r="O1042" s="183"/>
      <c r="P1042" s="183"/>
    </row>
    <row r="1043" spans="1:16" ht="13" customHeight="1">
      <c r="A1043" s="183"/>
      <c r="B1043" s="183"/>
      <c r="C1043" s="183"/>
      <c r="D1043" s="183"/>
      <c r="E1043" s="183"/>
      <c r="F1043" s="183"/>
      <c r="G1043" s="183"/>
      <c r="H1043" s="183"/>
      <c r="I1043" s="183"/>
      <c r="J1043" s="183"/>
      <c r="K1043" s="183"/>
      <c r="L1043" s="183"/>
      <c r="M1043" s="183"/>
      <c r="N1043" s="183"/>
      <c r="O1043" s="183"/>
      <c r="P1043" s="183"/>
    </row>
    <row r="1044" spans="1:16" ht="13" customHeight="1">
      <c r="A1044" s="183"/>
      <c r="B1044" s="183"/>
      <c r="C1044" s="183"/>
      <c r="D1044" s="183"/>
      <c r="E1044" s="183"/>
      <c r="F1044" s="183"/>
      <c r="G1044" s="183"/>
      <c r="H1044" s="183"/>
      <c r="I1044" s="183"/>
      <c r="J1044" s="183"/>
      <c r="K1044" s="183"/>
      <c r="L1044" s="183"/>
      <c r="M1044" s="183"/>
      <c r="N1044" s="183"/>
      <c r="O1044" s="183"/>
      <c r="P1044" s="183"/>
    </row>
    <row r="1045" spans="1:16" ht="13" customHeight="1">
      <c r="A1045" s="183"/>
      <c r="B1045" s="183"/>
      <c r="C1045" s="183"/>
      <c r="D1045" s="183"/>
      <c r="E1045" s="183"/>
      <c r="F1045" s="183"/>
      <c r="G1045" s="183"/>
      <c r="H1045" s="183"/>
      <c r="I1045" s="183"/>
      <c r="J1045" s="183"/>
      <c r="K1045" s="183"/>
      <c r="L1045" s="183"/>
      <c r="M1045" s="183"/>
      <c r="N1045" s="183"/>
      <c r="O1045" s="183"/>
      <c r="P1045" s="183"/>
    </row>
    <row r="1046" spans="1:16" ht="13" customHeight="1">
      <c r="A1046" s="183"/>
      <c r="B1046" s="183"/>
      <c r="C1046" s="183"/>
      <c r="D1046" s="183"/>
      <c r="E1046" s="183"/>
      <c r="F1046" s="183"/>
      <c r="G1046" s="183"/>
      <c r="H1046" s="183"/>
      <c r="I1046" s="183"/>
      <c r="J1046" s="183"/>
      <c r="K1046" s="183"/>
      <c r="L1046" s="183"/>
      <c r="M1046" s="183"/>
      <c r="N1046" s="183"/>
      <c r="O1046" s="183"/>
      <c r="P1046" s="183"/>
    </row>
    <row r="1047" spans="1:16" ht="13" customHeight="1">
      <c r="A1047" s="183"/>
      <c r="B1047" s="183"/>
      <c r="C1047" s="183"/>
      <c r="D1047" s="183"/>
      <c r="E1047" s="183"/>
      <c r="F1047" s="183"/>
      <c r="G1047" s="183"/>
      <c r="H1047" s="183"/>
      <c r="I1047" s="183"/>
      <c r="J1047" s="183"/>
      <c r="K1047" s="183"/>
      <c r="L1047" s="183"/>
      <c r="M1047" s="183"/>
      <c r="N1047" s="183"/>
      <c r="O1047" s="183"/>
      <c r="P1047" s="183"/>
    </row>
    <row r="1048" spans="1:16" ht="13" customHeight="1">
      <c r="A1048" s="183"/>
      <c r="B1048" s="183"/>
      <c r="C1048" s="183"/>
      <c r="D1048" s="183"/>
      <c r="E1048" s="183"/>
      <c r="F1048" s="183"/>
      <c r="G1048" s="183"/>
      <c r="H1048" s="183"/>
      <c r="I1048" s="183"/>
      <c r="J1048" s="183"/>
      <c r="K1048" s="183"/>
      <c r="L1048" s="183"/>
      <c r="M1048" s="183"/>
      <c r="N1048" s="183"/>
      <c r="O1048" s="183"/>
      <c r="P1048" s="183"/>
    </row>
    <row r="1049" spans="1:16" ht="13" customHeight="1">
      <c r="A1049" s="183"/>
      <c r="B1049" s="183"/>
      <c r="C1049" s="183"/>
      <c r="D1049" s="183"/>
      <c r="E1049" s="183"/>
      <c r="F1049" s="183"/>
      <c r="G1049" s="183"/>
      <c r="H1049" s="183"/>
      <c r="I1049" s="183"/>
      <c r="J1049" s="183"/>
      <c r="K1049" s="183"/>
      <c r="L1049" s="183"/>
      <c r="M1049" s="183"/>
      <c r="N1049" s="183"/>
      <c r="O1049" s="183"/>
      <c r="P1049" s="183"/>
    </row>
    <row r="1050" spans="1:16" ht="13" customHeight="1">
      <c r="A1050" s="183"/>
      <c r="B1050" s="183"/>
      <c r="C1050" s="183"/>
      <c r="D1050" s="183"/>
      <c r="E1050" s="183"/>
      <c r="F1050" s="183"/>
      <c r="G1050" s="183"/>
      <c r="H1050" s="183"/>
      <c r="I1050" s="183"/>
      <c r="J1050" s="183"/>
      <c r="K1050" s="183"/>
      <c r="L1050" s="183"/>
      <c r="M1050" s="183"/>
      <c r="N1050" s="183"/>
      <c r="O1050" s="183"/>
      <c r="P1050" s="183"/>
    </row>
    <row r="1051" spans="1:16" ht="13" customHeight="1">
      <c r="A1051" s="183"/>
      <c r="B1051" s="183"/>
      <c r="C1051" s="183"/>
      <c r="D1051" s="183"/>
      <c r="E1051" s="183"/>
      <c r="F1051" s="183"/>
      <c r="G1051" s="183"/>
      <c r="H1051" s="183"/>
      <c r="I1051" s="183"/>
      <c r="J1051" s="183"/>
      <c r="K1051" s="183"/>
      <c r="L1051" s="183"/>
      <c r="M1051" s="183"/>
      <c r="N1051" s="183"/>
      <c r="O1051" s="183"/>
      <c r="P1051" s="183"/>
    </row>
    <row r="1052" spans="1:16" ht="13" customHeight="1">
      <c r="A1052" s="183"/>
      <c r="B1052" s="183"/>
      <c r="C1052" s="183"/>
      <c r="D1052" s="183"/>
      <c r="E1052" s="183"/>
      <c r="F1052" s="183"/>
      <c r="G1052" s="183"/>
      <c r="H1052" s="183"/>
      <c r="I1052" s="183"/>
      <c r="J1052" s="183"/>
      <c r="K1052" s="183"/>
      <c r="L1052" s="183"/>
      <c r="M1052" s="183"/>
      <c r="N1052" s="183"/>
      <c r="O1052" s="183"/>
      <c r="P1052" s="183"/>
    </row>
    <row r="1053" spans="1:16" ht="13" customHeight="1">
      <c r="A1053" s="183"/>
      <c r="B1053" s="183"/>
      <c r="C1053" s="183"/>
      <c r="D1053" s="183"/>
      <c r="E1053" s="183"/>
      <c r="F1053" s="183"/>
      <c r="G1053" s="183"/>
      <c r="H1053" s="183"/>
      <c r="I1053" s="183"/>
      <c r="J1053" s="183"/>
      <c r="K1053" s="183"/>
      <c r="L1053" s="183"/>
      <c r="M1053" s="183"/>
      <c r="N1053" s="183"/>
      <c r="O1053" s="183"/>
      <c r="P1053" s="183"/>
    </row>
    <row r="1054" spans="1:16" ht="13" customHeight="1">
      <c r="A1054" s="183"/>
      <c r="B1054" s="183"/>
      <c r="C1054" s="183"/>
      <c r="D1054" s="183"/>
      <c r="E1054" s="183"/>
      <c r="F1054" s="183"/>
      <c r="G1054" s="183"/>
      <c r="H1054" s="183"/>
      <c r="I1054" s="183"/>
      <c r="J1054" s="183"/>
      <c r="K1054" s="183"/>
      <c r="L1054" s="183"/>
      <c r="M1054" s="183"/>
      <c r="N1054" s="183"/>
      <c r="O1054" s="183"/>
      <c r="P1054" s="183"/>
    </row>
    <row r="1055" spans="1:16" ht="13" customHeight="1">
      <c r="A1055" s="183"/>
      <c r="B1055" s="183"/>
      <c r="C1055" s="183"/>
      <c r="D1055" s="183"/>
      <c r="E1055" s="183"/>
      <c r="F1055" s="183"/>
      <c r="G1055" s="183"/>
      <c r="H1055" s="183"/>
      <c r="I1055" s="183"/>
      <c r="J1055" s="183"/>
      <c r="K1055" s="183"/>
      <c r="L1055" s="183"/>
      <c r="M1055" s="183"/>
      <c r="N1055" s="183"/>
      <c r="O1055" s="183"/>
      <c r="P1055" s="183"/>
    </row>
    <row r="1056" spans="1:16" ht="13" customHeight="1">
      <c r="A1056" s="183"/>
      <c r="B1056" s="183"/>
      <c r="C1056" s="183"/>
      <c r="D1056" s="183"/>
      <c r="E1056" s="183"/>
      <c r="F1056" s="183"/>
      <c r="G1056" s="183"/>
      <c r="H1056" s="183"/>
      <c r="I1056" s="183"/>
      <c r="J1056" s="183"/>
      <c r="K1056" s="183"/>
      <c r="L1056" s="183"/>
      <c r="M1056" s="183"/>
      <c r="N1056" s="183"/>
      <c r="O1056" s="183"/>
      <c r="P1056" s="183"/>
    </row>
    <row r="1057" spans="1:16" ht="13" customHeight="1">
      <c r="A1057" s="183"/>
      <c r="B1057" s="183"/>
      <c r="C1057" s="183"/>
      <c r="D1057" s="183"/>
      <c r="E1057" s="183"/>
      <c r="F1057" s="183"/>
      <c r="G1057" s="183"/>
      <c r="H1057" s="183"/>
      <c r="I1057" s="183"/>
      <c r="J1057" s="183"/>
      <c r="K1057" s="183"/>
      <c r="L1057" s="183"/>
      <c r="M1057" s="183"/>
      <c r="N1057" s="183"/>
      <c r="O1057" s="183"/>
      <c r="P1057" s="183"/>
    </row>
    <row r="1058" spans="1:16" ht="13" customHeight="1">
      <c r="A1058" s="183"/>
      <c r="B1058" s="183"/>
      <c r="C1058" s="183"/>
      <c r="D1058" s="183"/>
      <c r="E1058" s="183"/>
      <c r="F1058" s="183"/>
      <c r="G1058" s="183"/>
      <c r="H1058" s="183"/>
      <c r="I1058" s="183"/>
      <c r="J1058" s="183"/>
      <c r="K1058" s="183"/>
      <c r="L1058" s="183"/>
      <c r="M1058" s="183"/>
      <c r="N1058" s="183"/>
      <c r="O1058" s="183"/>
      <c r="P1058" s="183"/>
    </row>
    <row r="1059" spans="1:16" ht="13" customHeight="1">
      <c r="A1059" s="183"/>
      <c r="B1059" s="183"/>
      <c r="C1059" s="183"/>
      <c r="D1059" s="183"/>
      <c r="E1059" s="183"/>
      <c r="F1059" s="183"/>
      <c r="G1059" s="183"/>
      <c r="H1059" s="183"/>
      <c r="I1059" s="183"/>
      <c r="J1059" s="183"/>
      <c r="K1059" s="183"/>
      <c r="L1059" s="183"/>
      <c r="M1059" s="183"/>
      <c r="N1059" s="183"/>
      <c r="O1059" s="183"/>
      <c r="P1059" s="183"/>
    </row>
    <row r="1060" spans="1:16" ht="13" customHeight="1">
      <c r="A1060" s="183"/>
      <c r="B1060" s="183"/>
      <c r="C1060" s="183"/>
      <c r="D1060" s="183"/>
      <c r="E1060" s="183"/>
      <c r="F1060" s="183"/>
      <c r="G1060" s="183"/>
      <c r="H1060" s="183"/>
      <c r="I1060" s="183"/>
      <c r="J1060" s="183"/>
      <c r="K1060" s="183"/>
      <c r="L1060" s="183"/>
      <c r="M1060" s="183"/>
      <c r="N1060" s="183"/>
      <c r="O1060" s="183"/>
      <c r="P1060" s="183"/>
    </row>
    <row r="1061" spans="1:16" ht="13" customHeight="1">
      <c r="A1061" s="183"/>
      <c r="B1061" s="183"/>
      <c r="C1061" s="183"/>
      <c r="D1061" s="183"/>
      <c r="E1061" s="183"/>
      <c r="F1061" s="183"/>
      <c r="G1061" s="183"/>
      <c r="H1061" s="183"/>
      <c r="I1061" s="183"/>
      <c r="J1061" s="183"/>
      <c r="K1061" s="183"/>
      <c r="L1061" s="183"/>
      <c r="M1061" s="183"/>
      <c r="N1061" s="183"/>
      <c r="O1061" s="183"/>
      <c r="P1061" s="183"/>
    </row>
    <row r="1062" spans="1:16" ht="13" customHeight="1">
      <c r="A1062" s="183"/>
      <c r="B1062" s="183"/>
      <c r="C1062" s="183"/>
      <c r="D1062" s="183"/>
      <c r="E1062" s="183"/>
      <c r="F1062" s="183"/>
      <c r="G1062" s="183"/>
      <c r="H1062" s="183"/>
      <c r="I1062" s="183"/>
      <c r="J1062" s="183"/>
      <c r="K1062" s="183"/>
      <c r="L1062" s="183"/>
      <c r="M1062" s="183"/>
      <c r="N1062" s="183"/>
      <c r="O1062" s="183"/>
      <c r="P1062" s="183"/>
    </row>
    <row r="1063" spans="1:16" ht="13" customHeight="1">
      <c r="A1063" s="183"/>
      <c r="B1063" s="183"/>
      <c r="C1063" s="183"/>
      <c r="D1063" s="183"/>
      <c r="E1063" s="183"/>
      <c r="F1063" s="183"/>
      <c r="G1063" s="183"/>
      <c r="H1063" s="183"/>
      <c r="I1063" s="183"/>
      <c r="J1063" s="183"/>
      <c r="K1063" s="183"/>
      <c r="L1063" s="183"/>
      <c r="M1063" s="183"/>
      <c r="N1063" s="183"/>
      <c r="O1063" s="183"/>
      <c r="P1063" s="183"/>
    </row>
    <row r="1064" spans="1:16" ht="13" customHeight="1">
      <c r="A1064" s="183"/>
      <c r="B1064" s="183"/>
      <c r="C1064" s="183"/>
      <c r="D1064" s="183"/>
      <c r="E1064" s="183"/>
      <c r="F1064" s="183"/>
      <c r="G1064" s="183"/>
      <c r="H1064" s="183"/>
      <c r="I1064" s="183"/>
      <c r="J1064" s="183"/>
      <c r="K1064" s="183"/>
      <c r="L1064" s="183"/>
      <c r="M1064" s="183"/>
      <c r="N1064" s="183"/>
      <c r="O1064" s="183"/>
      <c r="P1064" s="183"/>
    </row>
    <row r="1065" spans="1:16" ht="13" customHeight="1">
      <c r="A1065" s="183"/>
      <c r="B1065" s="183"/>
      <c r="C1065" s="183"/>
      <c r="D1065" s="183"/>
      <c r="E1065" s="183"/>
      <c r="F1065" s="183"/>
      <c r="G1065" s="183"/>
      <c r="H1065" s="183"/>
      <c r="I1065" s="183"/>
      <c r="J1065" s="183"/>
      <c r="K1065" s="183"/>
      <c r="L1065" s="183"/>
      <c r="M1065" s="183"/>
      <c r="N1065" s="183"/>
      <c r="O1065" s="183"/>
      <c r="P1065" s="183"/>
    </row>
    <row r="1066" spans="1:16" ht="13" customHeight="1">
      <c r="A1066" s="183"/>
      <c r="B1066" s="183"/>
      <c r="C1066" s="183"/>
      <c r="D1066" s="183"/>
      <c r="E1066" s="183"/>
      <c r="F1066" s="183"/>
      <c r="G1066" s="183"/>
      <c r="H1066" s="183"/>
      <c r="I1066" s="183"/>
      <c r="J1066" s="183"/>
      <c r="K1066" s="183"/>
      <c r="L1066" s="183"/>
      <c r="M1066" s="183"/>
      <c r="N1066" s="183"/>
      <c r="O1066" s="183"/>
      <c r="P1066" s="183"/>
    </row>
    <row r="1067" spans="1:16" ht="13" customHeight="1">
      <c r="A1067" s="183"/>
      <c r="B1067" s="183"/>
      <c r="C1067" s="183"/>
      <c r="D1067" s="183"/>
      <c r="E1067" s="183"/>
      <c r="F1067" s="183"/>
      <c r="G1067" s="183"/>
      <c r="H1067" s="183"/>
      <c r="I1067" s="183"/>
      <c r="J1067" s="183"/>
      <c r="K1067" s="183"/>
      <c r="L1067" s="183"/>
      <c r="M1067" s="183"/>
      <c r="N1067" s="183"/>
      <c r="O1067" s="183"/>
      <c r="P1067" s="183"/>
    </row>
    <row r="1068" spans="1:16" ht="13" customHeight="1">
      <c r="A1068" s="183"/>
      <c r="B1068" s="183"/>
      <c r="C1068" s="183"/>
      <c r="D1068" s="183"/>
      <c r="E1068" s="183"/>
      <c r="F1068" s="183"/>
      <c r="G1068" s="183"/>
      <c r="H1068" s="183"/>
      <c r="I1068" s="183"/>
      <c r="J1068" s="183"/>
      <c r="K1068" s="183"/>
      <c r="L1068" s="183"/>
      <c r="M1068" s="183"/>
      <c r="N1068" s="183"/>
      <c r="O1068" s="183"/>
      <c r="P1068" s="183"/>
    </row>
    <row r="1069" spans="1:16" ht="13" customHeight="1">
      <c r="A1069" s="183"/>
      <c r="B1069" s="183"/>
      <c r="C1069" s="183"/>
      <c r="D1069" s="183"/>
      <c r="E1069" s="183"/>
      <c r="F1069" s="183"/>
      <c r="G1069" s="183"/>
      <c r="H1069" s="183"/>
      <c r="I1069" s="183"/>
      <c r="J1069" s="183"/>
      <c r="K1069" s="183"/>
      <c r="L1069" s="183"/>
      <c r="M1069" s="183"/>
      <c r="N1069" s="183"/>
      <c r="O1069" s="183"/>
      <c r="P1069" s="183"/>
    </row>
    <row r="1070" spans="1:16" ht="13" customHeight="1">
      <c r="A1070" s="183"/>
      <c r="B1070" s="183"/>
      <c r="C1070" s="183"/>
      <c r="D1070" s="183"/>
      <c r="E1070" s="183"/>
      <c r="F1070" s="183"/>
      <c r="G1070" s="183"/>
      <c r="H1070" s="183"/>
      <c r="I1070" s="183"/>
      <c r="J1070" s="183"/>
      <c r="K1070" s="183"/>
      <c r="L1070" s="183"/>
      <c r="M1070" s="183"/>
      <c r="N1070" s="183"/>
      <c r="O1070" s="183"/>
      <c r="P1070" s="183"/>
    </row>
    <row r="1071" spans="1:16" ht="13" customHeight="1">
      <c r="A1071" s="183"/>
      <c r="B1071" s="183"/>
      <c r="C1071" s="183"/>
      <c r="D1071" s="183"/>
      <c r="E1071" s="183"/>
      <c r="F1071" s="183"/>
      <c r="G1071" s="183"/>
      <c r="H1071" s="183"/>
      <c r="I1071" s="183"/>
      <c r="J1071" s="183"/>
      <c r="K1071" s="183"/>
      <c r="L1071" s="183"/>
      <c r="M1071" s="183"/>
      <c r="N1071" s="183"/>
      <c r="O1071" s="183"/>
      <c r="P1071" s="183"/>
    </row>
    <row r="1072" spans="1:16" ht="13" customHeight="1">
      <c r="A1072" s="183"/>
      <c r="B1072" s="183"/>
      <c r="C1072" s="183"/>
      <c r="D1072" s="183"/>
      <c r="E1072" s="183"/>
      <c r="F1072" s="183"/>
      <c r="G1072" s="183"/>
      <c r="H1072" s="183"/>
      <c r="I1072" s="183"/>
      <c r="J1072" s="183"/>
      <c r="K1072" s="183"/>
      <c r="L1072" s="183"/>
      <c r="M1072" s="183"/>
      <c r="N1072" s="183"/>
      <c r="O1072" s="183"/>
      <c r="P1072" s="183"/>
    </row>
    <row r="1073" spans="1:16" ht="13" customHeight="1">
      <c r="A1073" s="183"/>
      <c r="B1073" s="183"/>
      <c r="C1073" s="183"/>
      <c r="D1073" s="183"/>
      <c r="E1073" s="183"/>
      <c r="F1073" s="183"/>
      <c r="G1073" s="183"/>
      <c r="H1073" s="183"/>
      <c r="I1073" s="183"/>
      <c r="J1073" s="183"/>
      <c r="K1073" s="183"/>
      <c r="L1073" s="183"/>
      <c r="M1073" s="183"/>
      <c r="N1073" s="183"/>
      <c r="O1073" s="183"/>
      <c r="P1073" s="183"/>
    </row>
    <row r="1074" spans="1:16" ht="13" customHeight="1">
      <c r="A1074" s="183"/>
      <c r="B1074" s="183"/>
      <c r="C1074" s="183"/>
      <c r="D1074" s="183"/>
      <c r="E1074" s="183"/>
      <c r="F1074" s="183"/>
      <c r="G1074" s="183"/>
      <c r="H1074" s="183"/>
      <c r="I1074" s="183"/>
      <c r="J1074" s="183"/>
      <c r="K1074" s="183"/>
      <c r="L1074" s="183"/>
      <c r="M1074" s="183"/>
      <c r="N1074" s="183"/>
      <c r="O1074" s="183"/>
      <c r="P1074" s="183"/>
    </row>
    <row r="1075" spans="1:16" ht="13" customHeight="1">
      <c r="A1075" s="183"/>
      <c r="B1075" s="183"/>
      <c r="C1075" s="183"/>
      <c r="D1075" s="183"/>
      <c r="E1075" s="183"/>
      <c r="F1075" s="183"/>
      <c r="G1075" s="183"/>
      <c r="H1075" s="183"/>
      <c r="I1075" s="183"/>
      <c r="J1075" s="183"/>
      <c r="K1075" s="183"/>
      <c r="L1075" s="183"/>
      <c r="M1075" s="183"/>
      <c r="N1075" s="183"/>
      <c r="O1075" s="183"/>
      <c r="P1075" s="183"/>
    </row>
    <row r="1076" spans="1:16" ht="13" customHeight="1">
      <c r="A1076" s="183"/>
      <c r="B1076" s="183"/>
      <c r="C1076" s="183"/>
      <c r="D1076" s="183"/>
      <c r="E1076" s="183"/>
      <c r="F1076" s="183"/>
      <c r="G1076" s="183"/>
      <c r="H1076" s="183"/>
      <c r="I1076" s="183"/>
      <c r="J1076" s="183"/>
      <c r="K1076" s="183"/>
      <c r="L1076" s="183"/>
      <c r="M1076" s="183"/>
      <c r="N1076" s="183"/>
      <c r="O1076" s="183"/>
      <c r="P1076" s="183"/>
    </row>
    <row r="1077" spans="1:16" ht="13" customHeight="1">
      <c r="A1077" s="183"/>
      <c r="B1077" s="183"/>
      <c r="C1077" s="183"/>
      <c r="D1077" s="183"/>
      <c r="E1077" s="183"/>
      <c r="F1077" s="183"/>
      <c r="G1077" s="183"/>
      <c r="H1077" s="183"/>
      <c r="I1077" s="183"/>
      <c r="J1077" s="183"/>
      <c r="K1077" s="183"/>
      <c r="L1077" s="183"/>
      <c r="M1077" s="183"/>
      <c r="N1077" s="183"/>
      <c r="O1077" s="183"/>
      <c r="P1077" s="183"/>
    </row>
    <row r="1078" spans="1:16" ht="13" customHeight="1">
      <c r="A1078" s="183"/>
      <c r="B1078" s="183"/>
      <c r="C1078" s="183"/>
      <c r="D1078" s="183"/>
      <c r="E1078" s="183"/>
      <c r="F1078" s="183"/>
      <c r="G1078" s="183"/>
      <c r="H1078" s="183"/>
      <c r="I1078" s="183"/>
      <c r="J1078" s="183"/>
      <c r="K1078" s="183"/>
      <c r="L1078" s="183"/>
      <c r="M1078" s="183"/>
      <c r="N1078" s="183"/>
      <c r="O1078" s="183"/>
      <c r="P1078" s="183"/>
    </row>
    <row r="1079" spans="1:16" ht="13" customHeight="1">
      <c r="A1079" s="183"/>
      <c r="B1079" s="183"/>
      <c r="C1079" s="183"/>
      <c r="D1079" s="183"/>
      <c r="E1079" s="183"/>
      <c r="F1079" s="183"/>
      <c r="G1079" s="183"/>
      <c r="H1079" s="183"/>
      <c r="I1079" s="183"/>
      <c r="J1079" s="183"/>
      <c r="K1079" s="183"/>
      <c r="L1079" s="183"/>
      <c r="M1079" s="183"/>
      <c r="N1079" s="183"/>
      <c r="O1079" s="183"/>
      <c r="P1079" s="183"/>
    </row>
    <row r="1080" spans="1:16" ht="13" customHeight="1">
      <c r="A1080" s="183"/>
      <c r="B1080" s="183"/>
      <c r="C1080" s="183"/>
      <c r="D1080" s="183"/>
      <c r="E1080" s="183"/>
      <c r="F1080" s="183"/>
      <c r="G1080" s="183"/>
      <c r="H1080" s="183"/>
      <c r="I1080" s="183"/>
      <c r="J1080" s="183"/>
      <c r="K1080" s="183"/>
      <c r="L1080" s="183"/>
      <c r="M1080" s="183"/>
      <c r="N1080" s="183"/>
      <c r="O1080" s="183"/>
      <c r="P1080" s="183"/>
    </row>
    <row r="1081" spans="1:16" ht="13" customHeight="1">
      <c r="A1081" s="183"/>
      <c r="B1081" s="183"/>
      <c r="C1081" s="183"/>
      <c r="D1081" s="183"/>
      <c r="E1081" s="183"/>
      <c r="F1081" s="183"/>
      <c r="G1081" s="183"/>
      <c r="H1081" s="183"/>
      <c r="I1081" s="183"/>
      <c r="J1081" s="183"/>
      <c r="K1081" s="183"/>
      <c r="L1081" s="183"/>
      <c r="M1081" s="183"/>
      <c r="N1081" s="183"/>
      <c r="O1081" s="183"/>
      <c r="P1081" s="183"/>
    </row>
    <row r="1082" spans="1:16" ht="13" customHeight="1">
      <c r="A1082" s="183"/>
      <c r="B1082" s="183"/>
      <c r="C1082" s="183"/>
      <c r="D1082" s="183"/>
      <c r="E1082" s="183"/>
      <c r="F1082" s="183"/>
      <c r="G1082" s="183"/>
      <c r="H1082" s="183"/>
      <c r="I1082" s="183"/>
      <c r="J1082" s="183"/>
      <c r="K1082" s="183"/>
      <c r="L1082" s="183"/>
      <c r="M1082" s="183"/>
      <c r="N1082" s="183"/>
      <c r="O1082" s="183"/>
      <c r="P1082" s="183"/>
    </row>
    <row r="1083" spans="1:16" ht="13" customHeight="1">
      <c r="A1083" s="183"/>
      <c r="B1083" s="183"/>
      <c r="C1083" s="183"/>
      <c r="D1083" s="183"/>
      <c r="E1083" s="183"/>
      <c r="F1083" s="183"/>
      <c r="G1083" s="183"/>
      <c r="H1083" s="183"/>
      <c r="I1083" s="183"/>
      <c r="J1083" s="183"/>
      <c r="K1083" s="183"/>
      <c r="L1083" s="183"/>
      <c r="M1083" s="183"/>
      <c r="N1083" s="183"/>
      <c r="O1083" s="183"/>
      <c r="P1083" s="183"/>
    </row>
    <row r="1084" spans="1:16" ht="13" customHeight="1">
      <c r="A1084" s="183"/>
      <c r="B1084" s="183"/>
      <c r="C1084" s="183"/>
      <c r="D1084" s="183"/>
      <c r="E1084" s="183"/>
      <c r="F1084" s="183"/>
      <c r="G1084" s="183"/>
      <c r="H1084" s="183"/>
      <c r="I1084" s="183"/>
      <c r="J1084" s="183"/>
      <c r="K1084" s="183"/>
      <c r="L1084" s="183"/>
      <c r="M1084" s="183"/>
      <c r="N1084" s="183"/>
      <c r="O1084" s="183"/>
      <c r="P1084" s="183"/>
    </row>
    <row r="1085" spans="1:16" ht="13" customHeight="1">
      <c r="A1085" s="183"/>
      <c r="B1085" s="183"/>
      <c r="C1085" s="183"/>
      <c r="D1085" s="183"/>
      <c r="E1085" s="183"/>
      <c r="F1085" s="183"/>
      <c r="G1085" s="183"/>
      <c r="H1085" s="183"/>
      <c r="I1085" s="183"/>
      <c r="J1085" s="183"/>
      <c r="K1085" s="183"/>
      <c r="L1085" s="183"/>
      <c r="M1085" s="183"/>
      <c r="N1085" s="183"/>
      <c r="O1085" s="183"/>
      <c r="P1085" s="183"/>
    </row>
    <row r="1086" spans="1:16" ht="13" customHeight="1">
      <c r="A1086" s="183"/>
      <c r="B1086" s="183"/>
      <c r="C1086" s="183"/>
      <c r="D1086" s="183"/>
      <c r="E1086" s="183"/>
      <c r="F1086" s="183"/>
      <c r="G1086" s="183"/>
      <c r="H1086" s="183"/>
      <c r="I1086" s="183"/>
      <c r="J1086" s="183"/>
      <c r="K1086" s="183"/>
      <c r="L1086" s="183"/>
      <c r="M1086" s="183"/>
      <c r="N1086" s="183"/>
      <c r="O1086" s="183"/>
      <c r="P1086" s="183"/>
    </row>
    <row r="1087" spans="1:16" ht="13" customHeight="1">
      <c r="A1087" s="183"/>
      <c r="B1087" s="183"/>
      <c r="C1087" s="183"/>
      <c r="D1087" s="183"/>
      <c r="E1087" s="183"/>
      <c r="F1087" s="183"/>
      <c r="G1087" s="183"/>
      <c r="H1087" s="183"/>
      <c r="I1087" s="183"/>
      <c r="J1087" s="183"/>
      <c r="K1087" s="183"/>
      <c r="L1087" s="183"/>
      <c r="M1087" s="183"/>
      <c r="N1087" s="183"/>
      <c r="O1087" s="183"/>
      <c r="P1087" s="183"/>
    </row>
    <row r="1088" spans="1:16" ht="13" customHeight="1">
      <c r="A1088" s="183"/>
      <c r="B1088" s="183"/>
      <c r="C1088" s="183"/>
      <c r="D1088" s="183"/>
      <c r="E1088" s="183"/>
      <c r="F1088" s="183"/>
      <c r="G1088" s="183"/>
      <c r="H1088" s="183"/>
      <c r="I1088" s="183"/>
      <c r="J1088" s="183"/>
      <c r="K1088" s="183"/>
      <c r="L1088" s="183"/>
      <c r="M1088" s="183"/>
      <c r="N1088" s="183"/>
      <c r="O1088" s="183"/>
      <c r="P1088" s="183"/>
    </row>
    <row r="1089" spans="1:16" ht="13" customHeight="1">
      <c r="A1089" s="183"/>
      <c r="B1089" s="183"/>
      <c r="C1089" s="183"/>
      <c r="D1089" s="183"/>
      <c r="E1089" s="183"/>
      <c r="F1089" s="183"/>
      <c r="G1089" s="183"/>
      <c r="H1089" s="183"/>
      <c r="I1089" s="183"/>
      <c r="J1089" s="183"/>
      <c r="K1089" s="183"/>
      <c r="L1089" s="183"/>
      <c r="M1089" s="183"/>
      <c r="N1089" s="183"/>
      <c r="O1089" s="183"/>
      <c r="P1089" s="183"/>
    </row>
    <row r="1090" spans="1:16" ht="13" customHeight="1">
      <c r="A1090" s="183"/>
      <c r="B1090" s="183"/>
      <c r="C1090" s="183"/>
      <c r="D1090" s="183"/>
      <c r="E1090" s="183"/>
      <c r="F1090" s="183"/>
      <c r="G1090" s="183"/>
      <c r="H1090" s="183"/>
      <c r="I1090" s="183"/>
      <c r="J1090" s="183"/>
      <c r="K1090" s="183"/>
      <c r="L1090" s="183"/>
      <c r="M1090" s="183"/>
      <c r="N1090" s="183"/>
      <c r="O1090" s="183"/>
      <c r="P1090" s="183"/>
    </row>
    <row r="1091" spans="1:16" ht="13" customHeight="1">
      <c r="A1091" s="183"/>
      <c r="B1091" s="183"/>
      <c r="C1091" s="183"/>
      <c r="D1091" s="183"/>
      <c r="E1091" s="183"/>
      <c r="F1091" s="183"/>
      <c r="G1091" s="183"/>
      <c r="H1091" s="183"/>
      <c r="I1091" s="183"/>
      <c r="J1091" s="183"/>
      <c r="K1091" s="183"/>
      <c r="L1091" s="183"/>
      <c r="M1091" s="183"/>
      <c r="N1091" s="183"/>
      <c r="O1091" s="183"/>
      <c r="P1091" s="183"/>
    </row>
    <row r="1092" spans="1:16" ht="13" customHeight="1">
      <c r="A1092" s="183"/>
      <c r="B1092" s="183"/>
      <c r="C1092" s="183"/>
      <c r="D1092" s="183"/>
      <c r="E1092" s="183"/>
      <c r="F1092" s="183"/>
      <c r="G1092" s="183"/>
      <c r="H1092" s="183"/>
      <c r="I1092" s="183"/>
      <c r="J1092" s="183"/>
      <c r="K1092" s="183"/>
      <c r="L1092" s="183"/>
      <c r="M1092" s="183"/>
      <c r="N1092" s="183"/>
      <c r="O1092" s="183"/>
      <c r="P1092" s="183"/>
    </row>
    <row r="1093" spans="1:16" ht="13" customHeight="1">
      <c r="A1093" s="183"/>
      <c r="B1093" s="183"/>
      <c r="C1093" s="183"/>
      <c r="D1093" s="183"/>
      <c r="E1093" s="183"/>
      <c r="F1093" s="183"/>
      <c r="G1093" s="183"/>
      <c r="H1093" s="183"/>
      <c r="I1093" s="183"/>
      <c r="J1093" s="183"/>
      <c r="K1093" s="183"/>
      <c r="L1093" s="183"/>
      <c r="M1093" s="183"/>
      <c r="N1093" s="183"/>
      <c r="O1093" s="183"/>
      <c r="P1093" s="183"/>
    </row>
    <row r="1094" spans="1:16" ht="13" customHeight="1">
      <c r="A1094" s="183"/>
      <c r="B1094" s="183"/>
      <c r="C1094" s="183"/>
      <c r="D1094" s="183"/>
      <c r="E1094" s="183"/>
      <c r="F1094" s="183"/>
      <c r="G1094" s="183"/>
      <c r="H1094" s="183"/>
      <c r="I1094" s="183"/>
      <c r="J1094" s="183"/>
      <c r="K1094" s="183"/>
      <c r="L1094" s="183"/>
      <c r="M1094" s="183"/>
      <c r="N1094" s="183"/>
      <c r="O1094" s="183"/>
      <c r="P1094" s="183"/>
    </row>
    <row r="1095" spans="1:16" ht="13" customHeight="1">
      <c r="A1095" s="183"/>
      <c r="B1095" s="183"/>
      <c r="C1095" s="183"/>
      <c r="D1095" s="183"/>
      <c r="E1095" s="183"/>
      <c r="F1095" s="183"/>
      <c r="G1095" s="183"/>
      <c r="H1095" s="183"/>
      <c r="I1095" s="183"/>
      <c r="J1095" s="183"/>
      <c r="K1095" s="183"/>
      <c r="L1095" s="183"/>
      <c r="M1095" s="183"/>
      <c r="N1095" s="183"/>
      <c r="O1095" s="183"/>
      <c r="P1095" s="183"/>
    </row>
    <row r="1096" spans="1:16" ht="13" customHeight="1">
      <c r="A1096" s="183"/>
      <c r="B1096" s="183"/>
      <c r="C1096" s="183"/>
      <c r="D1096" s="183"/>
      <c r="E1096" s="183"/>
      <c r="F1096" s="183"/>
      <c r="G1096" s="183"/>
      <c r="H1096" s="183"/>
      <c r="I1096" s="183"/>
      <c r="J1096" s="183"/>
      <c r="K1096" s="183"/>
      <c r="L1096" s="183"/>
      <c r="M1096" s="183"/>
      <c r="N1096" s="183"/>
      <c r="O1096" s="183"/>
      <c r="P1096" s="183"/>
    </row>
    <row r="1097" spans="1:16" ht="13" customHeight="1">
      <c r="A1097" s="183"/>
      <c r="B1097" s="183"/>
      <c r="C1097" s="183"/>
      <c r="D1097" s="183"/>
      <c r="E1097" s="183"/>
      <c r="F1097" s="183"/>
      <c r="G1097" s="183"/>
      <c r="H1097" s="183"/>
      <c r="I1097" s="183"/>
      <c r="J1097" s="183"/>
      <c r="K1097" s="183"/>
      <c r="L1097" s="183"/>
      <c r="M1097" s="183"/>
      <c r="N1097" s="183"/>
      <c r="O1097" s="183"/>
      <c r="P1097" s="183"/>
    </row>
    <row r="1098" spans="1:16" ht="13" customHeight="1">
      <c r="A1098" s="183"/>
      <c r="B1098" s="183"/>
      <c r="C1098" s="183"/>
      <c r="D1098" s="183"/>
      <c r="E1098" s="183"/>
      <c r="F1098" s="183"/>
      <c r="G1098" s="183"/>
      <c r="H1098" s="183"/>
      <c r="I1098" s="183"/>
      <c r="J1098" s="183"/>
      <c r="K1098" s="183"/>
      <c r="L1098" s="183"/>
      <c r="M1098" s="183"/>
      <c r="N1098" s="183"/>
      <c r="O1098" s="183"/>
      <c r="P1098" s="183"/>
    </row>
    <row r="1099" spans="1:16" ht="13" customHeight="1">
      <c r="A1099" s="183"/>
      <c r="B1099" s="183"/>
      <c r="C1099" s="183"/>
      <c r="D1099" s="183"/>
      <c r="E1099" s="183"/>
      <c r="F1099" s="183"/>
      <c r="G1099" s="183"/>
      <c r="H1099" s="183"/>
      <c r="I1099" s="183"/>
      <c r="J1099" s="183"/>
      <c r="K1099" s="183"/>
      <c r="L1099" s="183"/>
      <c r="M1099" s="183"/>
      <c r="N1099" s="183"/>
      <c r="O1099" s="183"/>
      <c r="P1099" s="183"/>
    </row>
    <row r="1100" spans="1:16" ht="13" customHeight="1">
      <c r="A1100" s="183"/>
      <c r="B1100" s="183"/>
      <c r="C1100" s="183"/>
      <c r="D1100" s="183"/>
      <c r="E1100" s="183"/>
      <c r="F1100" s="183"/>
      <c r="G1100" s="183"/>
      <c r="H1100" s="183"/>
      <c r="I1100" s="183"/>
      <c r="J1100" s="183"/>
      <c r="K1100" s="183"/>
      <c r="L1100" s="183"/>
      <c r="M1100" s="183"/>
      <c r="N1100" s="183"/>
      <c r="O1100" s="183"/>
      <c r="P1100" s="183"/>
    </row>
    <row r="1101" spans="1:16" ht="13" customHeight="1">
      <c r="A1101" s="183"/>
      <c r="B1101" s="183"/>
      <c r="C1101" s="183"/>
      <c r="D1101" s="183"/>
      <c r="E1101" s="183"/>
      <c r="F1101" s="183"/>
      <c r="G1101" s="183"/>
      <c r="H1101" s="183"/>
      <c r="I1101" s="183"/>
      <c r="J1101" s="183"/>
      <c r="K1101" s="183"/>
      <c r="L1101" s="183"/>
      <c r="M1101" s="183"/>
      <c r="N1101" s="183"/>
      <c r="O1101" s="183"/>
      <c r="P1101" s="183"/>
    </row>
    <row r="1102" spans="1:16" ht="13" customHeight="1">
      <c r="A1102" s="183"/>
      <c r="B1102" s="183"/>
      <c r="C1102" s="183"/>
      <c r="D1102" s="183"/>
      <c r="E1102" s="183"/>
      <c r="F1102" s="183"/>
      <c r="G1102" s="183"/>
      <c r="H1102" s="183"/>
      <c r="I1102" s="183"/>
      <c r="J1102" s="183"/>
      <c r="K1102" s="183"/>
      <c r="L1102" s="183"/>
      <c r="M1102" s="183"/>
      <c r="N1102" s="183"/>
      <c r="O1102" s="183"/>
      <c r="P1102" s="183"/>
    </row>
    <row r="1103" spans="1:16" ht="13" customHeight="1">
      <c r="A1103" s="183"/>
      <c r="B1103" s="183"/>
      <c r="C1103" s="183"/>
      <c r="D1103" s="183"/>
      <c r="E1103" s="183"/>
      <c r="F1103" s="183"/>
      <c r="G1103" s="183"/>
      <c r="H1103" s="183"/>
      <c r="I1103" s="183"/>
      <c r="J1103" s="183"/>
      <c r="K1103" s="183"/>
      <c r="L1103" s="183"/>
      <c r="M1103" s="183"/>
      <c r="N1103" s="183"/>
      <c r="O1103" s="183"/>
      <c r="P1103" s="183"/>
    </row>
    <row r="1104" spans="1:16" ht="13" customHeight="1">
      <c r="A1104" s="183"/>
      <c r="B1104" s="183"/>
      <c r="C1104" s="183"/>
      <c r="D1104" s="183"/>
      <c r="E1104" s="183"/>
      <c r="F1104" s="183"/>
      <c r="G1104" s="183"/>
      <c r="H1104" s="183"/>
      <c r="I1104" s="183"/>
      <c r="J1104" s="183"/>
      <c r="K1104" s="183"/>
      <c r="L1104" s="183"/>
      <c r="M1104" s="183"/>
      <c r="N1104" s="183"/>
      <c r="O1104" s="183"/>
      <c r="P1104" s="183"/>
    </row>
    <row r="1105" spans="1:16" ht="13" customHeight="1">
      <c r="A1105" s="183"/>
      <c r="B1105" s="183"/>
      <c r="C1105" s="183"/>
      <c r="D1105" s="183"/>
      <c r="E1105" s="183"/>
      <c r="F1105" s="183"/>
      <c r="G1105" s="183"/>
      <c r="H1105" s="183"/>
      <c r="I1105" s="183"/>
      <c r="J1105" s="183"/>
      <c r="K1105" s="183"/>
      <c r="L1105" s="183"/>
      <c r="M1105" s="183"/>
      <c r="N1105" s="183"/>
      <c r="O1105" s="183"/>
      <c r="P1105" s="183"/>
    </row>
    <row r="1106" spans="1:16" ht="13" customHeight="1">
      <c r="A1106" s="183"/>
      <c r="B1106" s="183"/>
      <c r="C1106" s="183"/>
      <c r="D1106" s="183"/>
      <c r="E1106" s="183"/>
      <c r="F1106" s="183"/>
      <c r="G1106" s="183"/>
      <c r="H1106" s="183"/>
      <c r="I1106" s="183"/>
      <c r="J1106" s="183"/>
      <c r="K1106" s="183"/>
      <c r="L1106" s="183"/>
      <c r="M1106" s="183"/>
      <c r="N1106" s="183"/>
      <c r="O1106" s="183"/>
      <c r="P1106" s="183"/>
    </row>
    <row r="1107" spans="1:16" ht="13" customHeight="1">
      <c r="A1107" s="183"/>
      <c r="B1107" s="183"/>
      <c r="C1107" s="183"/>
      <c r="D1107" s="183"/>
      <c r="E1107" s="183"/>
      <c r="F1107" s="183"/>
      <c r="G1107" s="183"/>
      <c r="H1107" s="183"/>
      <c r="I1107" s="183"/>
      <c r="J1107" s="183"/>
      <c r="K1107" s="183"/>
      <c r="L1107" s="183"/>
      <c r="M1107" s="183"/>
      <c r="N1107" s="183"/>
      <c r="O1107" s="183"/>
      <c r="P1107" s="183"/>
    </row>
    <row r="1108" spans="1:16" ht="13" customHeight="1">
      <c r="A1108" s="183"/>
      <c r="B1108" s="183"/>
      <c r="C1108" s="183"/>
      <c r="D1108" s="183"/>
      <c r="E1108" s="183"/>
      <c r="F1108" s="183"/>
      <c r="G1108" s="183"/>
      <c r="H1108" s="183"/>
      <c r="I1108" s="183"/>
      <c r="J1108" s="183"/>
      <c r="K1108" s="183"/>
      <c r="L1108" s="183"/>
      <c r="M1108" s="183"/>
      <c r="N1108" s="183"/>
      <c r="O1108" s="183"/>
      <c r="P1108" s="183"/>
    </row>
    <row r="1109" spans="1:16" ht="13" customHeight="1">
      <c r="A1109" s="183"/>
      <c r="B1109" s="183"/>
      <c r="C1109" s="183"/>
      <c r="D1109" s="183"/>
      <c r="E1109" s="183"/>
      <c r="F1109" s="183"/>
      <c r="G1109" s="183"/>
      <c r="H1109" s="183"/>
      <c r="I1109" s="183"/>
      <c r="J1109" s="183"/>
      <c r="K1109" s="183"/>
      <c r="L1109" s="183"/>
      <c r="M1109" s="183"/>
      <c r="N1109" s="183"/>
      <c r="O1109" s="183"/>
      <c r="P1109" s="183"/>
    </row>
    <row r="1110" spans="1:16" ht="13" customHeight="1">
      <c r="A1110" s="183"/>
      <c r="B1110" s="183"/>
      <c r="C1110" s="183"/>
      <c r="D1110" s="183"/>
      <c r="E1110" s="183"/>
      <c r="F1110" s="183"/>
      <c r="G1110" s="183"/>
      <c r="H1110" s="183"/>
      <c r="I1110" s="183"/>
      <c r="J1110" s="183"/>
      <c r="K1110" s="183"/>
      <c r="L1110" s="183"/>
      <c r="M1110" s="183"/>
      <c r="N1110" s="183"/>
      <c r="O1110" s="183"/>
      <c r="P1110" s="183"/>
    </row>
    <row r="1111" spans="1:16" ht="13" customHeight="1">
      <c r="A1111" s="183"/>
      <c r="B1111" s="183"/>
      <c r="C1111" s="183"/>
      <c r="D1111" s="183"/>
      <c r="E1111" s="183"/>
      <c r="F1111" s="183"/>
      <c r="G1111" s="183"/>
      <c r="H1111" s="183"/>
      <c r="I1111" s="183"/>
      <c r="J1111" s="183"/>
      <c r="K1111" s="183"/>
      <c r="L1111" s="183"/>
      <c r="M1111" s="183"/>
      <c r="N1111" s="183"/>
      <c r="O1111" s="183"/>
      <c r="P1111" s="183"/>
    </row>
    <row r="1112" spans="1:16" ht="13" customHeight="1">
      <c r="A1112" s="183"/>
      <c r="B1112" s="183"/>
      <c r="C1112" s="183"/>
      <c r="D1112" s="183"/>
      <c r="E1112" s="183"/>
      <c r="F1112" s="183"/>
      <c r="G1112" s="183"/>
      <c r="H1112" s="183"/>
      <c r="I1112" s="183"/>
      <c r="J1112" s="183"/>
      <c r="K1112" s="183"/>
      <c r="L1112" s="183"/>
      <c r="M1112" s="183"/>
      <c r="N1112" s="183"/>
      <c r="O1112" s="183"/>
      <c r="P1112" s="183"/>
    </row>
    <row r="1113" spans="1:16" ht="13" customHeight="1">
      <c r="A1113" s="183"/>
      <c r="B1113" s="183"/>
      <c r="C1113" s="183"/>
      <c r="D1113" s="183"/>
      <c r="E1113" s="183"/>
      <c r="F1113" s="183"/>
      <c r="G1113" s="183"/>
      <c r="H1113" s="183"/>
      <c r="I1113" s="183"/>
      <c r="J1113" s="183"/>
      <c r="K1113" s="183"/>
      <c r="L1113" s="183"/>
      <c r="M1113" s="183"/>
      <c r="N1113" s="183"/>
      <c r="O1113" s="183"/>
      <c r="P1113" s="183"/>
    </row>
    <row r="1114" spans="1:16" ht="13" customHeight="1">
      <c r="A1114" s="183"/>
      <c r="B1114" s="183"/>
      <c r="C1114" s="183"/>
      <c r="D1114" s="183"/>
      <c r="E1114" s="183"/>
      <c r="F1114" s="183"/>
      <c r="G1114" s="183"/>
      <c r="H1114" s="183"/>
      <c r="I1114" s="183"/>
      <c r="J1114" s="183"/>
      <c r="K1114" s="183"/>
      <c r="L1114" s="183"/>
      <c r="M1114" s="183"/>
      <c r="N1114" s="183"/>
      <c r="O1114" s="183"/>
      <c r="P1114" s="183"/>
    </row>
    <row r="1115" spans="1:16" ht="13" customHeight="1">
      <c r="A1115" s="183"/>
      <c r="B1115" s="183"/>
      <c r="C1115" s="183"/>
      <c r="D1115" s="183"/>
      <c r="E1115" s="183"/>
      <c r="F1115" s="183"/>
      <c r="G1115" s="183"/>
      <c r="H1115" s="183"/>
      <c r="I1115" s="183"/>
      <c r="J1115" s="183"/>
      <c r="K1115" s="183"/>
      <c r="L1115" s="183"/>
      <c r="M1115" s="183"/>
      <c r="N1115" s="183"/>
      <c r="O1115" s="183"/>
      <c r="P1115" s="183"/>
    </row>
    <row r="1116" spans="1:16" ht="13" customHeight="1">
      <c r="A1116" s="183"/>
      <c r="B1116" s="183"/>
      <c r="C1116" s="183"/>
      <c r="D1116" s="183"/>
      <c r="E1116" s="183"/>
      <c r="F1116" s="183"/>
      <c r="G1116" s="183"/>
      <c r="H1116" s="183"/>
      <c r="I1116" s="183"/>
      <c r="J1116" s="183"/>
      <c r="K1116" s="183"/>
      <c r="L1116" s="183"/>
      <c r="M1116" s="183"/>
      <c r="N1116" s="183"/>
      <c r="O1116" s="183"/>
      <c r="P1116" s="183"/>
    </row>
    <row r="1117" spans="1:16" ht="13" customHeight="1">
      <c r="A1117" s="183"/>
      <c r="B1117" s="183"/>
      <c r="C1117" s="183"/>
      <c r="D1117" s="183"/>
      <c r="E1117" s="183"/>
      <c r="F1117" s="183"/>
      <c r="G1117" s="183"/>
      <c r="H1117" s="183"/>
      <c r="I1117" s="183"/>
      <c r="J1117" s="183"/>
      <c r="K1117" s="183"/>
      <c r="L1117" s="183"/>
      <c r="M1117" s="183"/>
      <c r="N1117" s="183"/>
      <c r="O1117" s="183"/>
      <c r="P1117" s="183"/>
    </row>
    <row r="1118" spans="1:16" ht="13" customHeight="1">
      <c r="A1118" s="183"/>
      <c r="B1118" s="183"/>
      <c r="C1118" s="183"/>
      <c r="D1118" s="183"/>
      <c r="E1118" s="183"/>
      <c r="F1118" s="183"/>
      <c r="G1118" s="183"/>
      <c r="H1118" s="183"/>
      <c r="I1118" s="183"/>
      <c r="J1118" s="183"/>
      <c r="K1118" s="183"/>
      <c r="L1118" s="183"/>
      <c r="M1118" s="183"/>
      <c r="N1118" s="183"/>
      <c r="O1118" s="183"/>
      <c r="P1118" s="183"/>
    </row>
    <row r="1119" spans="1:16" ht="13" customHeight="1">
      <c r="A1119" s="183"/>
      <c r="B1119" s="183"/>
      <c r="C1119" s="183"/>
      <c r="D1119" s="183"/>
      <c r="E1119" s="183"/>
      <c r="F1119" s="183"/>
      <c r="G1119" s="183"/>
      <c r="H1119" s="183"/>
      <c r="I1119" s="183"/>
      <c r="J1119" s="183"/>
      <c r="K1119" s="183"/>
      <c r="L1119" s="183"/>
      <c r="M1119" s="183"/>
      <c r="N1119" s="183"/>
      <c r="O1119" s="183"/>
      <c r="P1119" s="183"/>
    </row>
    <row r="1120" spans="1:16" ht="13" customHeight="1">
      <c r="A1120" s="183"/>
      <c r="B1120" s="183"/>
      <c r="C1120" s="183"/>
      <c r="D1120" s="183"/>
      <c r="E1120" s="183"/>
      <c r="F1120" s="183"/>
      <c r="G1120" s="183"/>
      <c r="H1120" s="183"/>
      <c r="I1120" s="183"/>
      <c r="J1120" s="183"/>
      <c r="K1120" s="183"/>
      <c r="L1120" s="183"/>
      <c r="M1120" s="183"/>
      <c r="N1120" s="183"/>
      <c r="O1120" s="183"/>
      <c r="P1120" s="183"/>
    </row>
    <row r="1121" spans="1:16" ht="13" customHeight="1">
      <c r="A1121" s="183"/>
      <c r="B1121" s="183"/>
      <c r="C1121" s="183"/>
      <c r="D1121" s="183"/>
      <c r="E1121" s="183"/>
      <c r="F1121" s="183"/>
      <c r="G1121" s="183"/>
      <c r="H1121" s="183"/>
      <c r="I1121" s="183"/>
      <c r="J1121" s="183"/>
      <c r="K1121" s="183"/>
      <c r="L1121" s="183"/>
      <c r="M1121" s="183"/>
      <c r="N1121" s="183"/>
      <c r="O1121" s="183"/>
      <c r="P1121" s="183"/>
    </row>
    <row r="1122" spans="1:16" ht="13" customHeight="1">
      <c r="A1122" s="183"/>
      <c r="B1122" s="183"/>
      <c r="C1122" s="183"/>
      <c r="D1122" s="183"/>
      <c r="E1122" s="183"/>
      <c r="F1122" s="183"/>
      <c r="G1122" s="183"/>
      <c r="H1122" s="183"/>
      <c r="I1122" s="183"/>
      <c r="J1122" s="183"/>
      <c r="K1122" s="183"/>
      <c r="L1122" s="183"/>
      <c r="M1122" s="183"/>
      <c r="N1122" s="183"/>
      <c r="O1122" s="183"/>
      <c r="P1122" s="183"/>
    </row>
    <row r="1123" spans="1:16" ht="13" customHeight="1">
      <c r="A1123" s="183"/>
      <c r="B1123" s="183"/>
      <c r="C1123" s="183"/>
      <c r="D1123" s="183"/>
      <c r="E1123" s="183"/>
      <c r="F1123" s="183"/>
      <c r="G1123" s="183"/>
      <c r="H1123" s="183"/>
      <c r="I1123" s="183"/>
      <c r="J1123" s="183"/>
      <c r="K1123" s="183"/>
      <c r="L1123" s="183"/>
      <c r="M1123" s="183"/>
      <c r="N1123" s="183"/>
      <c r="O1123" s="183"/>
      <c r="P1123" s="183"/>
    </row>
    <row r="1124" spans="1:16" ht="13" customHeight="1">
      <c r="A1124" s="183"/>
      <c r="B1124" s="183"/>
      <c r="C1124" s="183"/>
      <c r="D1124" s="183"/>
      <c r="E1124" s="183"/>
      <c r="F1124" s="183"/>
      <c r="G1124" s="183"/>
      <c r="H1124" s="183"/>
      <c r="I1124" s="183"/>
      <c r="J1124" s="183"/>
      <c r="K1124" s="183"/>
      <c r="L1124" s="183"/>
      <c r="M1124" s="183"/>
      <c r="N1124" s="183"/>
      <c r="O1124" s="183"/>
      <c r="P1124" s="183"/>
    </row>
    <row r="1125" spans="1:16" ht="13" customHeight="1">
      <c r="A1125" s="183"/>
      <c r="B1125" s="183"/>
      <c r="C1125" s="183"/>
      <c r="D1125" s="183"/>
      <c r="E1125" s="183"/>
      <c r="F1125" s="183"/>
      <c r="G1125" s="183"/>
      <c r="H1125" s="183"/>
      <c r="I1125" s="183"/>
      <c r="J1125" s="183"/>
      <c r="K1125" s="183"/>
      <c r="L1125" s="183"/>
      <c r="M1125" s="183"/>
      <c r="N1125" s="183"/>
      <c r="O1125" s="183"/>
      <c r="P1125" s="183"/>
    </row>
    <row r="1126" spans="1:16" ht="13" customHeight="1">
      <c r="A1126" s="183"/>
      <c r="B1126" s="183"/>
      <c r="C1126" s="183"/>
      <c r="D1126" s="183"/>
      <c r="E1126" s="183"/>
      <c r="F1126" s="183"/>
      <c r="G1126" s="183"/>
      <c r="H1126" s="183"/>
      <c r="I1126" s="183"/>
      <c r="J1126" s="183"/>
      <c r="K1126" s="183"/>
      <c r="L1126" s="183"/>
      <c r="M1126" s="183"/>
      <c r="N1126" s="183"/>
      <c r="O1126" s="183"/>
      <c r="P1126" s="183"/>
    </row>
    <row r="1127" spans="1:16" ht="13" customHeight="1">
      <c r="A1127" s="183"/>
      <c r="B1127" s="183"/>
      <c r="C1127" s="183"/>
      <c r="D1127" s="183"/>
      <c r="E1127" s="183"/>
      <c r="F1127" s="183"/>
      <c r="G1127" s="183"/>
      <c r="H1127" s="183"/>
      <c r="I1127" s="183"/>
      <c r="J1127" s="183"/>
      <c r="K1127" s="183"/>
      <c r="L1127" s="183"/>
      <c r="M1127" s="183"/>
      <c r="N1127" s="183"/>
      <c r="O1127" s="183"/>
      <c r="P1127" s="183"/>
    </row>
    <row r="1128" spans="1:16" ht="13" customHeight="1">
      <c r="A1128" s="183"/>
      <c r="B1128" s="183"/>
      <c r="C1128" s="183"/>
      <c r="D1128" s="183"/>
      <c r="E1128" s="183"/>
      <c r="F1128" s="183"/>
      <c r="G1128" s="183"/>
      <c r="H1128" s="183"/>
      <c r="I1128" s="183"/>
      <c r="J1128" s="183"/>
      <c r="K1128" s="183"/>
      <c r="L1128" s="183"/>
      <c r="M1128" s="183"/>
      <c r="N1128" s="183"/>
      <c r="O1128" s="183"/>
      <c r="P1128" s="183"/>
    </row>
    <row r="1129" spans="1:16" ht="13" customHeight="1">
      <c r="A1129" s="183"/>
      <c r="B1129" s="183"/>
      <c r="C1129" s="183"/>
      <c r="D1129" s="183"/>
      <c r="E1129" s="183"/>
      <c r="F1129" s="183"/>
      <c r="G1129" s="183"/>
      <c r="H1129" s="183"/>
      <c r="I1129" s="183"/>
      <c r="J1129" s="183"/>
      <c r="K1129" s="183"/>
      <c r="L1129" s="183"/>
      <c r="M1129" s="183"/>
      <c r="N1129" s="183"/>
      <c r="O1129" s="183"/>
      <c r="P1129" s="183"/>
    </row>
    <row r="1130" spans="1:16" ht="13" customHeight="1">
      <c r="A1130" s="183"/>
      <c r="B1130" s="183"/>
      <c r="C1130" s="183"/>
      <c r="D1130" s="183"/>
      <c r="E1130" s="183"/>
      <c r="F1130" s="183"/>
      <c r="G1130" s="183"/>
      <c r="H1130" s="183"/>
      <c r="I1130" s="183"/>
      <c r="J1130" s="183"/>
      <c r="K1130" s="183"/>
      <c r="L1130" s="183"/>
      <c r="M1130" s="183"/>
      <c r="N1130" s="183"/>
      <c r="O1130" s="183"/>
      <c r="P1130" s="183"/>
    </row>
    <row r="1131" spans="1:16" ht="13" customHeight="1">
      <c r="A1131" s="183"/>
      <c r="B1131" s="183"/>
      <c r="C1131" s="183"/>
      <c r="D1131" s="183"/>
      <c r="E1131" s="183"/>
      <c r="F1131" s="183"/>
      <c r="G1131" s="183"/>
      <c r="H1131" s="183"/>
      <c r="I1131" s="183"/>
      <c r="J1131" s="183"/>
      <c r="K1131" s="183"/>
      <c r="L1131" s="183"/>
      <c r="M1131" s="183"/>
      <c r="N1131" s="183"/>
      <c r="O1131" s="183"/>
      <c r="P1131" s="183"/>
    </row>
    <row r="1132" spans="1:16" ht="13" customHeight="1">
      <c r="A1132" s="183"/>
      <c r="B1132" s="183"/>
      <c r="C1132" s="183"/>
      <c r="D1132" s="183"/>
      <c r="E1132" s="183"/>
      <c r="F1132" s="183"/>
      <c r="G1132" s="183"/>
      <c r="H1132" s="183"/>
      <c r="I1132" s="183"/>
      <c r="J1132" s="183"/>
      <c r="K1132" s="183"/>
      <c r="L1132" s="183"/>
      <c r="M1132" s="183"/>
      <c r="N1132" s="183"/>
      <c r="O1132" s="183"/>
      <c r="P1132" s="183"/>
    </row>
    <row r="1133" spans="1:16" ht="13" customHeight="1">
      <c r="A1133" s="183"/>
      <c r="B1133" s="183"/>
      <c r="C1133" s="183"/>
      <c r="D1133" s="183"/>
      <c r="E1133" s="183"/>
      <c r="F1133" s="183"/>
      <c r="G1133" s="183"/>
      <c r="H1133" s="183"/>
      <c r="I1133" s="183"/>
      <c r="J1133" s="183"/>
      <c r="K1133" s="183"/>
      <c r="L1133" s="183"/>
      <c r="M1133" s="183"/>
      <c r="N1133" s="183"/>
      <c r="O1133" s="183"/>
      <c r="P1133" s="183"/>
    </row>
    <row r="1134" spans="1:16" ht="13" customHeight="1">
      <c r="A1134" s="183"/>
      <c r="B1134" s="183"/>
      <c r="C1134" s="183"/>
      <c r="D1134" s="183"/>
      <c r="E1134" s="183"/>
      <c r="F1134" s="183"/>
      <c r="G1134" s="183"/>
      <c r="H1134" s="183"/>
      <c r="I1134" s="183"/>
      <c r="J1134" s="183"/>
      <c r="K1134" s="183"/>
      <c r="L1134" s="183"/>
      <c r="M1134" s="183"/>
      <c r="N1134" s="183"/>
      <c r="O1134" s="183"/>
      <c r="P1134" s="183"/>
    </row>
    <row r="1135" spans="1:16" ht="13" customHeight="1">
      <c r="A1135" s="183"/>
      <c r="B1135" s="183"/>
      <c r="C1135" s="183"/>
      <c r="D1135" s="183"/>
      <c r="E1135" s="183"/>
      <c r="F1135" s="183"/>
      <c r="G1135" s="183"/>
      <c r="H1135" s="183"/>
      <c r="I1135" s="183"/>
      <c r="J1135" s="183"/>
      <c r="K1135" s="183"/>
      <c r="L1135" s="183"/>
      <c r="M1135" s="183"/>
      <c r="N1135" s="183"/>
      <c r="O1135" s="183"/>
      <c r="P1135" s="183"/>
    </row>
    <row r="1136" spans="1:16" ht="13" customHeight="1">
      <c r="A1136" s="183"/>
      <c r="B1136" s="183"/>
      <c r="C1136" s="183"/>
      <c r="D1136" s="183"/>
      <c r="E1136" s="183"/>
      <c r="F1136" s="183"/>
      <c r="G1136" s="183"/>
      <c r="H1136" s="183"/>
      <c r="I1136" s="183"/>
      <c r="J1136" s="183"/>
      <c r="K1136" s="183"/>
      <c r="L1136" s="183"/>
      <c r="M1136" s="183"/>
      <c r="N1136" s="183"/>
      <c r="O1136" s="183"/>
      <c r="P1136" s="183"/>
    </row>
    <row r="1137" spans="1:16" ht="13" customHeight="1">
      <c r="A1137" s="183"/>
      <c r="B1137" s="183"/>
      <c r="C1137" s="183"/>
      <c r="D1137" s="183"/>
      <c r="E1137" s="183"/>
      <c r="F1137" s="183"/>
      <c r="G1137" s="183"/>
      <c r="H1137" s="183"/>
      <c r="I1137" s="183"/>
      <c r="J1137" s="183"/>
      <c r="K1137" s="183"/>
      <c r="L1137" s="183"/>
      <c r="M1137" s="183"/>
      <c r="N1137" s="183"/>
      <c r="O1137" s="183"/>
      <c r="P1137" s="183"/>
    </row>
    <row r="1138" spans="1:16" ht="13" customHeight="1">
      <c r="A1138" s="183"/>
      <c r="B1138" s="183"/>
      <c r="C1138" s="183"/>
      <c r="D1138" s="183"/>
      <c r="E1138" s="183"/>
      <c r="F1138" s="183"/>
      <c r="G1138" s="183"/>
      <c r="H1138" s="183"/>
      <c r="I1138" s="183"/>
      <c r="J1138" s="183"/>
      <c r="K1138" s="183"/>
      <c r="L1138" s="183"/>
      <c r="M1138" s="183"/>
      <c r="N1138" s="183"/>
      <c r="O1138" s="183"/>
      <c r="P1138" s="183"/>
    </row>
    <row r="1139" spans="1:16" ht="13" customHeight="1">
      <c r="A1139" s="183"/>
      <c r="B1139" s="183"/>
      <c r="C1139" s="183"/>
      <c r="D1139" s="183"/>
      <c r="E1139" s="183"/>
      <c r="F1139" s="183"/>
      <c r="G1139" s="183"/>
      <c r="H1139" s="183"/>
      <c r="I1139" s="183"/>
      <c r="J1139" s="183"/>
      <c r="K1139" s="183"/>
      <c r="L1139" s="183"/>
      <c r="M1139" s="183"/>
      <c r="N1139" s="183"/>
      <c r="O1139" s="183"/>
      <c r="P1139" s="183"/>
    </row>
    <row r="1140" spans="1:16" ht="13" customHeight="1">
      <c r="A1140" s="183"/>
      <c r="B1140" s="183"/>
      <c r="C1140" s="183"/>
      <c r="D1140" s="183"/>
      <c r="E1140" s="183"/>
      <c r="F1140" s="183"/>
      <c r="G1140" s="183"/>
      <c r="H1140" s="183"/>
      <c r="I1140" s="183"/>
      <c r="J1140" s="183"/>
      <c r="K1140" s="183"/>
      <c r="L1140" s="183"/>
      <c r="M1140" s="183"/>
      <c r="N1140" s="183"/>
      <c r="O1140" s="183"/>
      <c r="P1140" s="183"/>
    </row>
    <row r="1141" spans="1:16" ht="13" customHeight="1">
      <c r="A1141" s="183"/>
      <c r="B1141" s="183"/>
      <c r="C1141" s="183"/>
      <c r="D1141" s="183"/>
      <c r="E1141" s="183"/>
      <c r="F1141" s="183"/>
      <c r="G1141" s="183"/>
      <c r="H1141" s="183"/>
      <c r="I1141" s="183"/>
      <c r="J1141" s="183"/>
      <c r="K1141" s="183"/>
      <c r="L1141" s="183"/>
      <c r="M1141" s="183"/>
      <c r="N1141" s="183"/>
      <c r="O1141" s="183"/>
      <c r="P1141" s="183"/>
    </row>
    <row r="1142" spans="1:16" ht="13" customHeight="1">
      <c r="A1142" s="183"/>
      <c r="B1142" s="183"/>
      <c r="C1142" s="183"/>
      <c r="D1142" s="183"/>
      <c r="E1142" s="183"/>
      <c r="F1142" s="183"/>
      <c r="G1142" s="183"/>
      <c r="H1142" s="183"/>
      <c r="I1142" s="183"/>
      <c r="J1142" s="183"/>
      <c r="K1142" s="183"/>
      <c r="L1142" s="183"/>
      <c r="M1142" s="183"/>
      <c r="N1142" s="183"/>
      <c r="O1142" s="183"/>
      <c r="P1142" s="183"/>
    </row>
    <row r="1143" spans="1:16" ht="13" customHeight="1">
      <c r="A1143" s="183"/>
      <c r="B1143" s="183"/>
      <c r="C1143" s="183"/>
      <c r="D1143" s="183"/>
      <c r="E1143" s="183"/>
      <c r="F1143" s="183"/>
      <c r="G1143" s="183"/>
      <c r="H1143" s="183"/>
      <c r="I1143" s="183"/>
      <c r="J1143" s="183"/>
      <c r="K1143" s="183"/>
      <c r="L1143" s="183"/>
      <c r="M1143" s="183"/>
      <c r="N1143" s="183"/>
      <c r="O1143" s="183"/>
      <c r="P1143" s="183"/>
    </row>
    <row r="1144" spans="1:16" ht="13" customHeight="1">
      <c r="A1144" s="183"/>
      <c r="B1144" s="183"/>
      <c r="C1144" s="183"/>
      <c r="D1144" s="183"/>
      <c r="E1144" s="183"/>
      <c r="F1144" s="183"/>
      <c r="G1144" s="183"/>
      <c r="H1144" s="183"/>
      <c r="I1144" s="183"/>
      <c r="J1144" s="183"/>
      <c r="K1144" s="183"/>
      <c r="L1144" s="183"/>
      <c r="M1144" s="183"/>
      <c r="N1144" s="183"/>
      <c r="O1144" s="183"/>
      <c r="P1144" s="183"/>
    </row>
    <row r="1145" spans="1:16" ht="13" customHeight="1">
      <c r="A1145" s="183"/>
      <c r="B1145" s="183"/>
      <c r="C1145" s="183"/>
      <c r="D1145" s="183"/>
      <c r="E1145" s="183"/>
      <c r="F1145" s="183"/>
      <c r="G1145" s="183"/>
      <c r="H1145" s="183"/>
      <c r="I1145" s="183"/>
      <c r="J1145" s="183"/>
      <c r="K1145" s="183"/>
      <c r="L1145" s="183"/>
      <c r="M1145" s="183"/>
      <c r="N1145" s="183"/>
      <c r="O1145" s="183"/>
      <c r="P1145" s="183"/>
    </row>
    <row r="1146" spans="1:16" ht="13" customHeight="1">
      <c r="A1146" s="183"/>
      <c r="B1146" s="183"/>
      <c r="C1146" s="183"/>
      <c r="D1146" s="183"/>
      <c r="E1146" s="183"/>
      <c r="F1146" s="183"/>
      <c r="G1146" s="183"/>
      <c r="H1146" s="183"/>
      <c r="I1146" s="183"/>
      <c r="J1146" s="183"/>
      <c r="K1146" s="183"/>
      <c r="L1146" s="183"/>
      <c r="M1146" s="183"/>
      <c r="N1146" s="183"/>
      <c r="O1146" s="183"/>
      <c r="P1146" s="183"/>
    </row>
    <row r="1147" spans="1:16" ht="13" customHeight="1">
      <c r="A1147" s="183"/>
      <c r="B1147" s="183"/>
      <c r="C1147" s="183"/>
      <c r="D1147" s="183"/>
      <c r="E1147" s="183"/>
      <c r="F1147" s="183"/>
      <c r="G1147" s="183"/>
      <c r="H1147" s="183"/>
      <c r="I1147" s="183"/>
      <c r="J1147" s="183"/>
      <c r="K1147" s="183"/>
      <c r="L1147" s="183"/>
      <c r="M1147" s="183"/>
      <c r="N1147" s="183"/>
      <c r="O1147" s="183"/>
      <c r="P1147" s="183"/>
    </row>
    <row r="1148" spans="1:16" ht="13" customHeight="1">
      <c r="A1148" s="183"/>
      <c r="B1148" s="183"/>
      <c r="C1148" s="183"/>
      <c r="D1148" s="183"/>
      <c r="E1148" s="183"/>
      <c r="F1148" s="183"/>
      <c r="G1148" s="183"/>
      <c r="H1148" s="183"/>
      <c r="I1148" s="183"/>
      <c r="J1148" s="183"/>
      <c r="K1148" s="183"/>
      <c r="L1148" s="183"/>
      <c r="M1148" s="183"/>
      <c r="N1148" s="183"/>
      <c r="O1148" s="183"/>
      <c r="P1148" s="183"/>
    </row>
    <row r="1149" spans="1:16" ht="13" customHeight="1">
      <c r="A1149" s="183"/>
      <c r="B1149" s="183"/>
      <c r="C1149" s="183"/>
      <c r="D1149" s="183"/>
      <c r="E1149" s="183"/>
      <c r="F1149" s="183"/>
      <c r="G1149" s="183"/>
      <c r="H1149" s="183"/>
      <c r="I1149" s="183"/>
      <c r="J1149" s="183"/>
      <c r="K1149" s="183"/>
      <c r="L1149" s="183"/>
      <c r="M1149" s="183"/>
      <c r="N1149" s="183"/>
      <c r="O1149" s="183"/>
      <c r="P1149" s="183"/>
    </row>
    <row r="1150" spans="1:16" ht="13" customHeight="1">
      <c r="A1150" s="183"/>
      <c r="B1150" s="183"/>
      <c r="C1150" s="183"/>
      <c r="D1150" s="183"/>
      <c r="E1150" s="183"/>
      <c r="F1150" s="183"/>
      <c r="G1150" s="183"/>
      <c r="H1150" s="183"/>
      <c r="I1150" s="183"/>
      <c r="J1150" s="183"/>
      <c r="K1150" s="183"/>
      <c r="L1150" s="183"/>
      <c r="M1150" s="183"/>
      <c r="N1150" s="183"/>
      <c r="O1150" s="183"/>
      <c r="P1150" s="183"/>
    </row>
    <row r="1151" spans="1:16" ht="13" customHeight="1">
      <c r="A1151" s="183"/>
      <c r="B1151" s="183"/>
      <c r="C1151" s="183"/>
      <c r="D1151" s="183"/>
      <c r="E1151" s="183"/>
      <c r="F1151" s="183"/>
      <c r="G1151" s="183"/>
      <c r="H1151" s="183"/>
      <c r="I1151" s="183"/>
      <c r="J1151" s="183"/>
      <c r="K1151" s="183"/>
      <c r="L1151" s="183"/>
      <c r="M1151" s="183"/>
      <c r="N1151" s="183"/>
      <c r="O1151" s="183"/>
      <c r="P1151" s="183"/>
    </row>
    <row r="1152" spans="1:16" ht="13" customHeight="1">
      <c r="A1152" s="183"/>
      <c r="B1152" s="183"/>
      <c r="C1152" s="183"/>
      <c r="D1152" s="183"/>
      <c r="E1152" s="183"/>
      <c r="F1152" s="183"/>
      <c r="G1152" s="183"/>
      <c r="H1152" s="183"/>
      <c r="I1152" s="183"/>
      <c r="J1152" s="183"/>
      <c r="K1152" s="183"/>
      <c r="L1152" s="183"/>
      <c r="M1152" s="183"/>
      <c r="N1152" s="183"/>
      <c r="O1152" s="183"/>
      <c r="P1152" s="183"/>
    </row>
    <row r="1153" spans="1:16" ht="13" customHeight="1">
      <c r="A1153" s="183"/>
      <c r="B1153" s="183"/>
      <c r="C1153" s="183"/>
      <c r="D1153" s="183"/>
      <c r="E1153" s="183"/>
      <c r="F1153" s="183"/>
      <c r="G1153" s="183"/>
      <c r="H1153" s="183"/>
      <c r="I1153" s="183"/>
      <c r="J1153" s="183"/>
      <c r="K1153" s="183"/>
      <c r="L1153" s="183"/>
      <c r="M1153" s="183"/>
      <c r="N1153" s="183"/>
      <c r="O1153" s="183"/>
      <c r="P1153" s="183"/>
    </row>
    <row r="1154" spans="1:16" ht="13" customHeight="1">
      <c r="A1154" s="183"/>
      <c r="B1154" s="183"/>
      <c r="C1154" s="183"/>
      <c r="D1154" s="183"/>
      <c r="E1154" s="183"/>
      <c r="F1154" s="183"/>
      <c r="G1154" s="183"/>
      <c r="H1154" s="183"/>
      <c r="I1154" s="183"/>
      <c r="J1154" s="183"/>
      <c r="K1154" s="183"/>
      <c r="L1154" s="183"/>
      <c r="M1154" s="183"/>
      <c r="N1154" s="183"/>
      <c r="O1154" s="183"/>
      <c r="P1154" s="183"/>
    </row>
    <row r="1155" spans="1:16" ht="13" customHeight="1">
      <c r="A1155" s="183"/>
      <c r="B1155" s="183"/>
      <c r="C1155" s="183"/>
      <c r="D1155" s="183"/>
      <c r="E1155" s="183"/>
      <c r="F1155" s="183"/>
      <c r="G1155" s="183"/>
      <c r="H1155" s="183"/>
      <c r="I1155" s="183"/>
      <c r="J1155" s="183"/>
      <c r="K1155" s="183"/>
      <c r="L1155" s="183"/>
      <c r="M1155" s="183"/>
      <c r="N1155" s="183"/>
      <c r="O1155" s="183"/>
      <c r="P1155" s="183"/>
    </row>
    <row r="1156" spans="1:16" ht="13" customHeight="1">
      <c r="A1156" s="183"/>
      <c r="B1156" s="183"/>
      <c r="C1156" s="183"/>
      <c r="D1156" s="183"/>
      <c r="E1156" s="183"/>
      <c r="F1156" s="183"/>
      <c r="G1156" s="183"/>
      <c r="H1156" s="183"/>
      <c r="I1156" s="183"/>
      <c r="J1156" s="183"/>
      <c r="K1156" s="183"/>
      <c r="L1156" s="183"/>
      <c r="M1156" s="183"/>
      <c r="N1156" s="183"/>
      <c r="O1156" s="183"/>
      <c r="P1156" s="183"/>
    </row>
    <row r="1157" spans="1:16" ht="13" customHeight="1">
      <c r="A1157" s="183"/>
      <c r="B1157" s="183"/>
      <c r="C1157" s="183"/>
      <c r="D1157" s="183"/>
      <c r="E1157" s="183"/>
      <c r="F1157" s="183"/>
      <c r="G1157" s="183"/>
      <c r="H1157" s="183"/>
      <c r="I1157" s="183"/>
      <c r="J1157" s="183"/>
      <c r="K1157" s="183"/>
      <c r="L1157" s="183"/>
      <c r="M1157" s="183"/>
      <c r="N1157" s="183"/>
      <c r="O1157" s="183"/>
      <c r="P1157" s="183"/>
    </row>
    <row r="1158" spans="1:16" ht="13" customHeight="1">
      <c r="A1158" s="183"/>
      <c r="B1158" s="183"/>
      <c r="C1158" s="183"/>
      <c r="D1158" s="183"/>
      <c r="E1158" s="183"/>
      <c r="F1158" s="183"/>
      <c r="G1158" s="183"/>
      <c r="H1158" s="183"/>
      <c r="I1158" s="183"/>
      <c r="J1158" s="183"/>
      <c r="K1158" s="183"/>
      <c r="L1158" s="183"/>
      <c r="M1158" s="183"/>
      <c r="N1158" s="183"/>
      <c r="O1158" s="183"/>
      <c r="P1158" s="183"/>
    </row>
    <row r="1159" spans="1:16" ht="13" customHeight="1">
      <c r="A1159" s="183"/>
      <c r="B1159" s="183"/>
      <c r="C1159" s="183"/>
      <c r="D1159" s="183"/>
      <c r="E1159" s="183"/>
      <c r="F1159" s="183"/>
      <c r="G1159" s="183"/>
      <c r="H1159" s="183"/>
      <c r="I1159" s="183"/>
      <c r="J1159" s="183"/>
      <c r="K1159" s="183"/>
      <c r="L1159" s="183"/>
      <c r="M1159" s="183"/>
      <c r="N1159" s="183"/>
      <c r="O1159" s="183"/>
      <c r="P1159" s="183"/>
    </row>
    <row r="1160" spans="1:16" ht="13" customHeight="1">
      <c r="A1160" s="183"/>
      <c r="B1160" s="183"/>
      <c r="C1160" s="183"/>
      <c r="D1160" s="183"/>
      <c r="E1160" s="183"/>
      <c r="F1160" s="183"/>
      <c r="G1160" s="183"/>
      <c r="H1160" s="183"/>
      <c r="I1160" s="183"/>
      <c r="J1160" s="183"/>
      <c r="K1160" s="183"/>
      <c r="L1160" s="183"/>
      <c r="M1160" s="183"/>
      <c r="N1160" s="183"/>
      <c r="O1160" s="183"/>
      <c r="P1160" s="183"/>
    </row>
    <row r="1161" spans="1:16" ht="13" customHeight="1">
      <c r="A1161" s="183"/>
      <c r="B1161" s="183"/>
      <c r="C1161" s="183"/>
      <c r="D1161" s="183"/>
      <c r="E1161" s="183"/>
      <c r="F1161" s="183"/>
      <c r="G1161" s="183"/>
      <c r="H1161" s="183"/>
      <c r="I1161" s="183"/>
      <c r="J1161" s="183"/>
      <c r="K1161" s="183"/>
      <c r="L1161" s="183"/>
      <c r="M1161" s="183"/>
      <c r="N1161" s="183"/>
      <c r="O1161" s="183"/>
      <c r="P1161" s="183"/>
    </row>
    <row r="1162" spans="1:16" ht="13" customHeight="1">
      <c r="A1162" s="183"/>
      <c r="B1162" s="183"/>
      <c r="C1162" s="183"/>
      <c r="D1162" s="183"/>
      <c r="E1162" s="183"/>
      <c r="F1162" s="183"/>
      <c r="G1162" s="183"/>
      <c r="H1162" s="183"/>
      <c r="I1162" s="183"/>
      <c r="J1162" s="183"/>
      <c r="K1162" s="183"/>
      <c r="L1162" s="183"/>
      <c r="M1162" s="183"/>
      <c r="N1162" s="183"/>
      <c r="O1162" s="183"/>
      <c r="P1162" s="183"/>
    </row>
    <row r="1163" spans="1:16" ht="13" customHeight="1">
      <c r="A1163" s="183"/>
      <c r="B1163" s="183"/>
      <c r="C1163" s="183"/>
      <c r="D1163" s="183"/>
      <c r="E1163" s="183"/>
      <c r="F1163" s="183"/>
      <c r="G1163" s="183"/>
      <c r="H1163" s="183"/>
      <c r="I1163" s="183"/>
      <c r="J1163" s="183"/>
      <c r="K1163" s="183"/>
      <c r="L1163" s="183"/>
      <c r="M1163" s="183"/>
      <c r="N1163" s="183"/>
      <c r="O1163" s="183"/>
      <c r="P1163" s="183"/>
    </row>
    <row r="1164" spans="1:16" ht="13" customHeight="1">
      <c r="A1164" s="183"/>
      <c r="B1164" s="183"/>
      <c r="C1164" s="183"/>
      <c r="D1164" s="183"/>
      <c r="E1164" s="183"/>
      <c r="F1164" s="183"/>
      <c r="G1164" s="183"/>
      <c r="H1164" s="183"/>
      <c r="I1164" s="183"/>
      <c r="J1164" s="183"/>
      <c r="K1164" s="183"/>
      <c r="L1164" s="183"/>
      <c r="M1164" s="183"/>
      <c r="N1164" s="183"/>
      <c r="O1164" s="183"/>
      <c r="P1164" s="183"/>
    </row>
    <row r="1165" spans="1:16" ht="13" customHeight="1">
      <c r="A1165" s="183"/>
      <c r="B1165" s="183"/>
      <c r="C1165" s="183"/>
      <c r="D1165" s="183"/>
      <c r="E1165" s="183"/>
      <c r="F1165" s="183"/>
      <c r="G1165" s="183"/>
      <c r="H1165" s="183"/>
      <c r="I1165" s="183"/>
      <c r="J1165" s="183"/>
      <c r="K1165" s="183"/>
      <c r="L1165" s="183"/>
      <c r="M1165" s="183"/>
      <c r="N1165" s="183"/>
      <c r="O1165" s="183"/>
      <c r="P1165" s="183"/>
    </row>
    <row r="1166" spans="1:16" ht="13" customHeight="1">
      <c r="A1166" s="183"/>
      <c r="B1166" s="183"/>
      <c r="C1166" s="183"/>
      <c r="D1166" s="183"/>
      <c r="E1166" s="183"/>
      <c r="F1166" s="183"/>
      <c r="G1166" s="183"/>
      <c r="H1166" s="183"/>
      <c r="I1166" s="183"/>
      <c r="J1166" s="183"/>
      <c r="K1166" s="183"/>
      <c r="L1166" s="183"/>
      <c r="M1166" s="183"/>
      <c r="N1166" s="183"/>
      <c r="O1166" s="183"/>
      <c r="P1166" s="183"/>
    </row>
    <row r="1167" spans="1:16" ht="13" customHeight="1">
      <c r="A1167" s="183"/>
      <c r="B1167" s="183"/>
      <c r="C1167" s="183"/>
      <c r="D1167" s="183"/>
      <c r="E1167" s="183"/>
      <c r="F1167" s="183"/>
      <c r="G1167" s="183"/>
      <c r="H1167" s="183"/>
      <c r="I1167" s="183"/>
      <c r="J1167" s="183"/>
      <c r="K1167" s="183"/>
      <c r="L1167" s="183"/>
      <c r="M1167" s="183"/>
      <c r="N1167" s="183"/>
      <c r="O1167" s="183"/>
      <c r="P1167" s="183"/>
    </row>
    <row r="1168" spans="1:16" ht="13" customHeight="1">
      <c r="A1168" s="183"/>
      <c r="B1168" s="183"/>
      <c r="C1168" s="183"/>
      <c r="D1168" s="183"/>
      <c r="E1168" s="183"/>
      <c r="F1168" s="183"/>
      <c r="G1168" s="183"/>
      <c r="H1168" s="183"/>
      <c r="I1168" s="183"/>
      <c r="J1168" s="183"/>
      <c r="K1168" s="183"/>
      <c r="L1168" s="183"/>
      <c r="M1168" s="183"/>
      <c r="N1168" s="183"/>
      <c r="O1168" s="183"/>
      <c r="P1168" s="183"/>
    </row>
    <row r="1169" spans="1:16" ht="13" customHeight="1">
      <c r="A1169" s="183"/>
      <c r="B1169" s="183"/>
      <c r="C1169" s="183"/>
      <c r="D1169" s="183"/>
      <c r="E1169" s="183"/>
      <c r="F1169" s="183"/>
      <c r="G1169" s="183"/>
      <c r="H1169" s="183"/>
      <c r="I1169" s="183"/>
      <c r="J1169" s="183"/>
      <c r="K1169" s="183"/>
      <c r="L1169" s="183"/>
      <c r="M1169" s="183"/>
      <c r="N1169" s="183"/>
      <c r="O1169" s="183"/>
      <c r="P1169" s="183"/>
    </row>
    <row r="1170" spans="1:16" ht="13" customHeight="1">
      <c r="A1170" s="183"/>
      <c r="B1170" s="183"/>
      <c r="C1170" s="183"/>
      <c r="D1170" s="183"/>
      <c r="E1170" s="183"/>
      <c r="F1170" s="183"/>
      <c r="G1170" s="183"/>
      <c r="H1170" s="183"/>
      <c r="I1170" s="183"/>
      <c r="J1170" s="183"/>
      <c r="K1170" s="183"/>
      <c r="L1170" s="183"/>
      <c r="M1170" s="183"/>
      <c r="N1170" s="183"/>
      <c r="O1170" s="183"/>
      <c r="P1170" s="183"/>
    </row>
    <row r="1171" spans="1:16" ht="13" customHeight="1">
      <c r="A1171" s="183"/>
      <c r="B1171" s="183"/>
      <c r="C1171" s="183"/>
      <c r="D1171" s="183"/>
      <c r="E1171" s="183"/>
      <c r="F1171" s="183"/>
      <c r="G1171" s="183"/>
      <c r="H1171" s="183"/>
      <c r="I1171" s="183"/>
      <c r="J1171" s="183"/>
      <c r="K1171" s="183"/>
      <c r="L1171" s="183"/>
      <c r="M1171" s="183"/>
      <c r="N1171" s="183"/>
      <c r="O1171" s="183"/>
      <c r="P1171" s="183"/>
    </row>
    <row r="1172" spans="1:16" ht="13" customHeight="1">
      <c r="A1172" s="183"/>
      <c r="B1172" s="183"/>
      <c r="C1172" s="183"/>
      <c r="D1172" s="183"/>
      <c r="E1172" s="183"/>
      <c r="F1172" s="183"/>
      <c r="G1172" s="183"/>
      <c r="H1172" s="183"/>
      <c r="I1172" s="183"/>
      <c r="J1172" s="183"/>
      <c r="K1172" s="183"/>
      <c r="L1172" s="183"/>
      <c r="M1172" s="183"/>
      <c r="N1172" s="183"/>
      <c r="O1172" s="183"/>
      <c r="P1172" s="183"/>
    </row>
    <row r="1173" spans="1:16" ht="13" customHeight="1">
      <c r="A1173" s="183"/>
      <c r="B1173" s="183"/>
      <c r="C1173" s="183"/>
      <c r="D1173" s="183"/>
      <c r="E1173" s="183"/>
      <c r="F1173" s="183"/>
      <c r="G1173" s="183"/>
      <c r="H1173" s="183"/>
      <c r="I1173" s="183"/>
      <c r="J1173" s="183"/>
      <c r="K1173" s="183"/>
      <c r="L1173" s="183"/>
      <c r="M1173" s="183"/>
      <c r="N1173" s="183"/>
      <c r="O1173" s="183"/>
      <c r="P1173" s="183"/>
    </row>
    <row r="1174" spans="1:16" ht="13" customHeight="1">
      <c r="A1174" s="183"/>
      <c r="B1174" s="183"/>
      <c r="C1174" s="183"/>
      <c r="D1174" s="183"/>
      <c r="E1174" s="183"/>
      <c r="F1174" s="183"/>
      <c r="G1174" s="183"/>
      <c r="H1174" s="183"/>
      <c r="I1174" s="183"/>
      <c r="J1174" s="183"/>
      <c r="K1174" s="183"/>
      <c r="L1174" s="183"/>
      <c r="M1174" s="183"/>
      <c r="N1174" s="183"/>
      <c r="O1174" s="183"/>
      <c r="P1174" s="183"/>
    </row>
    <row r="1175" spans="1:16" ht="13" customHeight="1">
      <c r="A1175" s="183"/>
      <c r="B1175" s="183"/>
      <c r="C1175" s="183"/>
      <c r="D1175" s="183"/>
      <c r="E1175" s="183"/>
      <c r="F1175" s="183"/>
      <c r="G1175" s="183"/>
      <c r="H1175" s="183"/>
      <c r="I1175" s="183"/>
      <c r="J1175" s="183"/>
      <c r="K1175" s="183"/>
      <c r="L1175" s="183"/>
      <c r="M1175" s="183"/>
      <c r="N1175" s="183"/>
      <c r="O1175" s="183"/>
      <c r="P1175" s="183"/>
    </row>
    <row r="1176" spans="1:16" ht="13" customHeight="1">
      <c r="A1176" s="183"/>
      <c r="B1176" s="183"/>
      <c r="C1176" s="183"/>
      <c r="D1176" s="183"/>
      <c r="E1176" s="183"/>
      <c r="F1176" s="183"/>
      <c r="G1176" s="183"/>
      <c r="H1176" s="183"/>
      <c r="I1176" s="183"/>
      <c r="J1176" s="183"/>
      <c r="K1176" s="183"/>
      <c r="L1176" s="183"/>
      <c r="M1176" s="183"/>
      <c r="N1176" s="183"/>
      <c r="O1176" s="183"/>
      <c r="P1176" s="183"/>
    </row>
    <row r="1177" spans="1:16" ht="13" customHeight="1">
      <c r="A1177" s="183"/>
      <c r="B1177" s="183"/>
      <c r="C1177" s="183"/>
      <c r="D1177" s="183"/>
      <c r="E1177" s="183"/>
      <c r="F1177" s="183"/>
      <c r="G1177" s="183"/>
      <c r="H1177" s="183"/>
      <c r="I1177" s="183"/>
      <c r="J1177" s="183"/>
      <c r="K1177" s="183"/>
      <c r="L1177" s="183"/>
      <c r="M1177" s="183"/>
      <c r="N1177" s="183"/>
      <c r="O1177" s="183"/>
      <c r="P1177" s="183"/>
    </row>
    <row r="1178" spans="1:16" ht="13" customHeight="1">
      <c r="A1178" s="183"/>
      <c r="B1178" s="183"/>
      <c r="C1178" s="183"/>
      <c r="D1178" s="183"/>
      <c r="E1178" s="183"/>
      <c r="F1178" s="183"/>
      <c r="G1178" s="183"/>
      <c r="H1178" s="183"/>
      <c r="I1178" s="183"/>
      <c r="J1178" s="183"/>
      <c r="K1178" s="183"/>
      <c r="L1178" s="183"/>
      <c r="M1178" s="183"/>
      <c r="N1178" s="183"/>
      <c r="O1178" s="183"/>
      <c r="P1178" s="183"/>
    </row>
    <row r="1179" spans="1:16" ht="13" customHeight="1">
      <c r="A1179" s="183"/>
      <c r="B1179" s="183"/>
      <c r="C1179" s="183"/>
      <c r="D1179" s="183"/>
      <c r="E1179" s="183"/>
      <c r="F1179" s="183"/>
      <c r="G1179" s="183"/>
      <c r="H1179" s="183"/>
      <c r="I1179" s="183"/>
      <c r="J1179" s="183"/>
      <c r="K1179" s="183"/>
      <c r="L1179" s="183"/>
      <c r="M1179" s="183"/>
      <c r="N1179" s="183"/>
      <c r="O1179" s="183"/>
      <c r="P1179" s="183"/>
    </row>
    <row r="1180" spans="1:16" ht="13" customHeight="1">
      <c r="A1180" s="183"/>
      <c r="B1180" s="183"/>
      <c r="C1180" s="183"/>
      <c r="D1180" s="183"/>
      <c r="E1180" s="183"/>
      <c r="F1180" s="183"/>
      <c r="G1180" s="183"/>
      <c r="H1180" s="183"/>
      <c r="I1180" s="183"/>
      <c r="J1180" s="183"/>
      <c r="K1180" s="183"/>
      <c r="L1180" s="183"/>
      <c r="M1180" s="183"/>
      <c r="N1180" s="183"/>
      <c r="O1180" s="183"/>
      <c r="P1180" s="183"/>
    </row>
    <row r="1181" spans="1:16" ht="13" customHeight="1">
      <c r="A1181" s="183"/>
      <c r="B1181" s="183"/>
      <c r="C1181" s="183"/>
      <c r="D1181" s="183"/>
      <c r="E1181" s="183"/>
      <c r="F1181" s="183"/>
      <c r="G1181" s="183"/>
      <c r="H1181" s="183"/>
      <c r="I1181" s="183"/>
      <c r="J1181" s="183"/>
      <c r="K1181" s="183"/>
      <c r="L1181" s="183"/>
      <c r="M1181" s="183"/>
      <c r="N1181" s="183"/>
      <c r="O1181" s="183"/>
      <c r="P1181" s="183"/>
    </row>
    <row r="1182" spans="1:16" ht="13" customHeight="1">
      <c r="A1182" s="183"/>
      <c r="B1182" s="183"/>
      <c r="C1182" s="183"/>
      <c r="D1182" s="183"/>
      <c r="E1182" s="183"/>
      <c r="F1182" s="183"/>
      <c r="G1182" s="183"/>
      <c r="H1182" s="183"/>
      <c r="I1182" s="183"/>
      <c r="J1182" s="183"/>
      <c r="K1182" s="183"/>
      <c r="L1182" s="183"/>
      <c r="M1182" s="183"/>
      <c r="N1182" s="183"/>
      <c r="O1182" s="183"/>
      <c r="P1182" s="183"/>
    </row>
    <row r="1183" spans="1:16" ht="13" customHeight="1">
      <c r="A1183" s="183"/>
      <c r="B1183" s="183"/>
      <c r="C1183" s="183"/>
      <c r="D1183" s="183"/>
      <c r="E1183" s="183"/>
      <c r="F1183" s="183"/>
      <c r="G1183" s="183"/>
      <c r="H1183" s="183"/>
      <c r="I1183" s="183"/>
      <c r="J1183" s="183"/>
      <c r="K1183" s="183"/>
      <c r="L1183" s="183"/>
      <c r="M1183" s="183"/>
      <c r="N1183" s="183"/>
      <c r="O1183" s="183"/>
      <c r="P1183" s="183"/>
    </row>
    <row r="1184" spans="1:16" ht="13" customHeight="1">
      <c r="A1184" s="183"/>
      <c r="B1184" s="183"/>
      <c r="C1184" s="183"/>
      <c r="D1184" s="183"/>
      <c r="E1184" s="183"/>
      <c r="F1184" s="183"/>
      <c r="G1184" s="183"/>
      <c r="H1184" s="183"/>
      <c r="I1184" s="183"/>
      <c r="J1184" s="183"/>
      <c r="K1184" s="183"/>
      <c r="L1184" s="183"/>
      <c r="M1184" s="183"/>
      <c r="N1184" s="183"/>
      <c r="O1184" s="183"/>
      <c r="P1184" s="183"/>
    </row>
    <row r="1185" spans="1:16" ht="13" customHeight="1">
      <c r="A1185" s="183"/>
      <c r="B1185" s="183"/>
      <c r="C1185" s="183"/>
      <c r="D1185" s="183"/>
      <c r="E1185" s="183"/>
      <c r="F1185" s="183"/>
      <c r="G1185" s="183"/>
      <c r="H1185" s="183"/>
      <c r="I1185" s="183"/>
      <c r="J1185" s="183"/>
      <c r="K1185" s="183"/>
      <c r="L1185" s="183"/>
      <c r="M1185" s="183"/>
      <c r="N1185" s="183"/>
      <c r="O1185" s="183"/>
      <c r="P1185" s="183"/>
    </row>
    <row r="1186" spans="1:16" ht="13" customHeight="1">
      <c r="A1186" s="183"/>
      <c r="B1186" s="183"/>
      <c r="C1186" s="183"/>
      <c r="D1186" s="183"/>
      <c r="E1186" s="183"/>
      <c r="F1186" s="183"/>
      <c r="G1186" s="183"/>
      <c r="H1186" s="183"/>
      <c r="I1186" s="183"/>
      <c r="J1186" s="183"/>
      <c r="K1186" s="183"/>
      <c r="L1186" s="183"/>
      <c r="M1186" s="183"/>
      <c r="N1186" s="183"/>
      <c r="O1186" s="183"/>
      <c r="P1186" s="183"/>
    </row>
  </sheetData>
  <autoFilter ref="A4:S529" xr:uid="{00000000-0009-0000-0000-000003000000}"/>
  <mergeCells count="12">
    <mergeCell ref="L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hyperlinks>
    <hyperlink ref="I1" location="Оглавление!A1" display="Назад в оглавление" xr:uid="{00000000-0004-0000-0300-000000000000}"/>
  </hyperlinks>
  <pageMargins left="0.7" right="0.7" top="0.75" bottom="0.75" header="0.3" footer="0.3"/>
  <ignoredErrors>
    <ignoredError sqref="L523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Оглавление</vt:lpstr>
      <vt:lpstr>Источники_Промышленность</vt:lpstr>
      <vt:lpstr>Прогнозы_Промышленность</vt:lpstr>
      <vt:lpstr>Прогнозы_Промышленность_2</vt:lpstr>
      <vt:lpstr>Источники_Промышленность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B. Borisov</dc:creator>
  <cp:lastModifiedBy>Lunin Alexei</cp:lastModifiedBy>
  <dcterms:created xsi:type="dcterms:W3CDTF">2026-07-15T09:09:00Z</dcterms:created>
  <dcterms:modified xsi:type="dcterms:W3CDTF">2026-10-09T07:11:21Z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B7D586DCAD5249E085D41544B97C0214_12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